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Portada" sheetId="1" state="visible" r:id="rId1"/>
    <sheet xmlns:r="http://schemas.openxmlformats.org/officeDocument/2006/relationships" name="Bases del Modelo" sheetId="2" state="visible" r:id="rId2"/>
    <sheet xmlns:r="http://schemas.openxmlformats.org/officeDocument/2006/relationships" name="Estado de Resultados" sheetId="3" state="visible" r:id="rId3"/>
    <sheet xmlns:r="http://schemas.openxmlformats.org/officeDocument/2006/relationships" name="Distribución Inversionista" sheetId="4" state="visible" r:id="rId4"/>
    <sheet xmlns:r="http://schemas.openxmlformats.org/officeDocument/2006/relationships" name="Sensibilidad" sheetId="5" state="visible" r:id="rId5"/>
    <sheet xmlns:r="http://schemas.openxmlformats.org/officeDocument/2006/relationships" name="Comparables" sheetId="6" state="visible" r:id="rId6"/>
  </sheets>
  <definedNames/>
  <calcPr calcId="124519" fullCalcOnLoad="1" refMode="A1" iterate="0" iterateCount="100" iterateDelta="0.0001"/>
</workbook>
</file>

<file path=xl/styles.xml><?xml version="1.0" encoding="utf-8"?>
<styleSheet xmlns="http://schemas.openxmlformats.org/spreadsheetml/2006/main">
  <numFmts count="5">
    <numFmt numFmtId="164" formatCode="#,##0;\(#,##0\);\-"/>
    <numFmt numFmtId="165" formatCode="0.0%;\(0.0%\);\-"/>
    <numFmt numFmtId="166" formatCode="\$#,##0;&quot;($&quot;#,##0\);\-"/>
    <numFmt numFmtId="167" formatCode="\$#,##0.00;&quot;($&quot;#,##0.00\);\-"/>
    <numFmt numFmtId="168" formatCode="0.00\x;\(0.00&quot;x)&quot;;\-"/>
  </numFmts>
  <fonts count="20">
    <font>
      <name val="Calibri"/>
      <charset val="1"/>
      <family val="2"/>
      <color theme="1"/>
      <sz val="11"/>
    </font>
    <font>
      <name val="Arial"/>
      <family val="0"/>
      <sz val="10"/>
    </font>
    <font>
      <name val="Arial"/>
      <family val="0"/>
      <sz val="10"/>
    </font>
    <font>
      <name val="Arial"/>
      <family val="0"/>
      <sz val="10"/>
    </font>
    <font>
      <name val="Arial"/>
      <charset val="1"/>
      <family val="0"/>
      <b val="1"/>
      <color rgb="FF595959"/>
      <sz val="10"/>
    </font>
    <font>
      <name val="Arial"/>
      <charset val="1"/>
      <family val="0"/>
      <b val="1"/>
      <color rgb="FF000000"/>
      <sz val="48"/>
    </font>
    <font>
      <name val="Arial"/>
      <charset val="1"/>
      <family val="0"/>
      <color rgb="FF595959"/>
      <sz val="14"/>
    </font>
    <font>
      <name val="Arial"/>
      <charset val="1"/>
      <family val="0"/>
      <color rgb="FF000000"/>
      <sz val="12"/>
    </font>
    <font>
      <name val="Arial"/>
      <charset val="1"/>
      <family val="0"/>
      <b val="1"/>
      <color rgb="FFFFFFFF"/>
      <sz val="11"/>
    </font>
    <font>
      <name val="Arial"/>
      <charset val="1"/>
      <family val="0"/>
      <b val="1"/>
      <color rgb="FF000000"/>
      <sz val="10"/>
    </font>
    <font>
      <name val="Arial"/>
      <charset val="1"/>
      <family val="0"/>
      <color rgb="FF000000"/>
      <sz val="10"/>
    </font>
    <font>
      <name val="Arial"/>
      <charset val="1"/>
      <family val="0"/>
      <b val="1"/>
      <color rgb="FF000000"/>
      <sz val="11"/>
    </font>
    <font>
      <name val="Arial"/>
      <charset val="1"/>
      <family val="0"/>
      <i val="1"/>
      <color rgb="FF595959"/>
      <sz val="8"/>
    </font>
    <font>
      <name val="Arial"/>
      <charset val="1"/>
      <family val="0"/>
      <b val="1"/>
      <color rgb="FFFFFFFF"/>
      <sz val="18"/>
    </font>
    <font>
      <name val="Arial"/>
      <charset val="1"/>
      <family val="0"/>
      <i val="1"/>
      <color rgb="FF595959"/>
      <sz val="10"/>
    </font>
    <font>
      <name val="Arial"/>
      <charset val="1"/>
      <family val="0"/>
      <b val="1"/>
      <color rgb="FFFFFFFF"/>
      <sz val="10"/>
    </font>
    <font>
      <name val="Arial"/>
      <charset val="1"/>
      <family val="0"/>
      <i val="1"/>
      <color rgb="FF595959"/>
      <sz val="9"/>
    </font>
    <font>
      <name val="Arial"/>
      <charset val="1"/>
      <family val="0"/>
      <i val="1"/>
      <color rgb="FF000000"/>
      <sz val="10"/>
    </font>
    <font>
      <name val="Arial"/>
      <charset val="1"/>
      <family val="0"/>
      <b val="1"/>
      <color rgb="FFFFFFFF"/>
      <sz val="14"/>
    </font>
    <font>
      <name val="Arial"/>
      <charset val="1"/>
      <family val="0"/>
      <b val="1"/>
      <sz val="10"/>
    </font>
  </fonts>
  <fills count="7">
    <fill>
      <patternFill/>
    </fill>
    <fill>
      <patternFill patternType="gray125"/>
    </fill>
    <fill>
      <patternFill patternType="solid">
        <fgColor rgb="FF000000"/>
        <bgColor rgb="FF1F1F1F"/>
      </patternFill>
    </fill>
    <fill>
      <patternFill patternType="solid">
        <fgColor rgb="FF1F1F1F"/>
        <bgColor rgb="FF333300"/>
      </patternFill>
    </fill>
    <fill>
      <patternFill patternType="solid">
        <fgColor rgb="FF595959"/>
        <bgColor rgb="FF808080"/>
      </patternFill>
    </fill>
    <fill>
      <patternFill patternType="solid">
        <fgColor rgb="FFD9D9D9"/>
        <bgColor rgb="FFF2F2F2"/>
      </patternFill>
    </fill>
    <fill>
      <patternFill patternType="solid">
        <fgColor rgb="FFF2F2F2"/>
        <bgColor rgb="FFFFFFFF"/>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diagonal/>
    </border>
    <border>
      <left/>
      <right/>
      <top style="thin">
        <color rgb="FFBFBFBF"/>
      </top>
      <bottom style="thin">
        <color rgb="FFBFBFBF"/>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31">
    <xf numFmtId="0" fontId="0" fillId="0" borderId="0" applyAlignment="1" pivotButton="0" quotePrefix="0" xfId="0">
      <alignment horizontal="general" vertical="bottom"/>
    </xf>
    <xf numFmtId="0" fontId="4" fillId="0" borderId="0" applyAlignment="1" pivotButton="0" quotePrefix="0" xfId="0">
      <alignment horizontal="left" vertical="center"/>
    </xf>
    <xf numFmtId="0" fontId="5" fillId="0" borderId="0" applyAlignment="1" pivotButton="0" quotePrefix="0" xfId="0">
      <alignment horizontal="left" vertical="center"/>
    </xf>
    <xf numFmtId="0" fontId="6" fillId="0" borderId="0" applyAlignment="1" pivotButton="0" quotePrefix="0" xfId="0">
      <alignment horizontal="left" vertical="center"/>
    </xf>
    <xf numFmtId="0" fontId="7" fillId="0" borderId="0" applyAlignment="1" pivotButton="0" quotePrefix="0" xfId="0">
      <alignment horizontal="left" vertical="center"/>
    </xf>
    <xf numFmtId="0" fontId="0" fillId="2" borderId="0" applyAlignment="1" pivotButton="0" quotePrefix="0" xfId="0">
      <alignment horizontal="general" vertical="bottom"/>
    </xf>
    <xf numFmtId="0" fontId="8" fillId="3" borderId="0" applyAlignment="1" pivotButton="0" quotePrefix="0" xfId="0">
      <alignment horizontal="lef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10" fillId="0" borderId="0" applyAlignment="1" pivotButton="0" quotePrefix="0" xfId="0">
      <alignment horizontal="left" vertical="center"/>
    </xf>
    <xf numFmtId="0" fontId="11" fillId="0" borderId="0" applyAlignment="1" pivotButton="0" quotePrefix="0" xfId="0">
      <alignment horizontal="left" vertical="center"/>
    </xf>
    <xf numFmtId="0" fontId="12" fillId="0" borderId="0" applyAlignment="1" pivotButton="0" quotePrefix="0" xfId="0">
      <alignment horizontal="left" vertical="top" wrapText="1" indent="1"/>
    </xf>
    <xf numFmtId="0" fontId="13" fillId="2" borderId="0" applyAlignment="1" pivotButton="0" quotePrefix="0" xfId="0">
      <alignment horizontal="left" vertical="center" indent="1"/>
    </xf>
    <xf numFmtId="0" fontId="14" fillId="0" borderId="0" applyAlignment="1" pivotButton="0" quotePrefix="0" xfId="0">
      <alignment horizontal="left" vertical="center" indent="1"/>
    </xf>
    <xf numFmtId="0" fontId="15" fillId="4" borderId="1" applyAlignment="1" pivotButton="0" quotePrefix="0" xfId="0">
      <alignment horizontal="center" vertical="center" wrapText="1"/>
    </xf>
    <xf numFmtId="0" fontId="8" fillId="3" borderId="2" applyAlignment="1" pivotButton="0" quotePrefix="0" xfId="0">
      <alignment horizontal="left" vertical="center"/>
    </xf>
    <xf numFmtId="0" fontId="10" fillId="0" borderId="1" applyAlignment="1" pivotButton="0" quotePrefix="0" xfId="0">
      <alignment horizontal="left" vertical="center" indent="2"/>
    </xf>
    <xf numFmtId="0" fontId="10" fillId="0" borderId="1" applyAlignment="1" pivotButton="0" quotePrefix="0" xfId="0">
      <alignment horizontal="right" vertical="center"/>
    </xf>
    <xf numFmtId="0" fontId="16" fillId="0" borderId="1" applyAlignment="1" pivotButton="0" quotePrefix="0" xfId="0">
      <alignment horizontal="center" vertical="center" wrapText="1"/>
    </xf>
    <xf numFmtId="0" fontId="16" fillId="0" borderId="1" applyAlignment="1" pivotButton="0" quotePrefix="0" xfId="0">
      <alignment horizontal="left" vertical="center" wrapText="1" indent="1"/>
    </xf>
    <xf numFmtId="164" fontId="10" fillId="0" borderId="1" applyAlignment="1" pivotButton="0" quotePrefix="0" xfId="0">
      <alignment horizontal="right" vertical="center"/>
    </xf>
    <xf numFmtId="165" fontId="10" fillId="0" borderId="1" applyAlignment="1" pivotButton="0" quotePrefix="0" xfId="0">
      <alignment horizontal="right" vertical="center"/>
    </xf>
    <xf numFmtId="166" fontId="10" fillId="0" borderId="1" applyAlignment="1" pivotButton="0" quotePrefix="0" xfId="0">
      <alignment horizontal="right" vertical="center"/>
    </xf>
    <xf numFmtId="0" fontId="15" fillId="4" borderId="0" applyAlignment="1" pivotButton="0" quotePrefix="0" xfId="0">
      <alignment horizontal="center" vertical="center" wrapText="1"/>
    </xf>
    <xf numFmtId="0" fontId="10" fillId="0" borderId="0" applyAlignment="1" pivotButton="0" quotePrefix="0" xfId="0">
      <alignment horizontal="left" vertical="center" indent="1"/>
    </xf>
    <xf numFmtId="167" fontId="10" fillId="0" borderId="0" applyAlignment="1" pivotButton="0" quotePrefix="0" xfId="0">
      <alignment horizontal="right" vertical="center"/>
    </xf>
    <xf numFmtId="165" fontId="10" fillId="0" borderId="0" applyAlignment="1" pivotButton="0" quotePrefix="0" xfId="0">
      <alignment horizontal="right" vertical="center"/>
    </xf>
    <xf numFmtId="164" fontId="10" fillId="0" borderId="0" applyAlignment="1" pivotButton="0" quotePrefix="0" xfId="0">
      <alignment horizontal="right" vertical="center"/>
    </xf>
    <xf numFmtId="166" fontId="10" fillId="0" borderId="0" applyAlignment="1" pivotButton="0" quotePrefix="0" xfId="0">
      <alignment horizontal="right" vertical="center"/>
    </xf>
    <xf numFmtId="0" fontId="9" fillId="5" borderId="0" applyAlignment="1" pivotButton="0" quotePrefix="0" xfId="0">
      <alignment horizontal="left" vertical="center"/>
    </xf>
    <xf numFmtId="166" fontId="9" fillId="5" borderId="0" applyAlignment="1" pivotButton="0" quotePrefix="0" xfId="0">
      <alignment horizontal="right" vertical="center"/>
    </xf>
    <xf numFmtId="166" fontId="9" fillId="0" borderId="0" applyAlignment="1" pivotButton="0" quotePrefix="0" xfId="0">
      <alignment horizontal="right" vertical="center"/>
    </xf>
    <xf numFmtId="0" fontId="17" fillId="0" borderId="0" applyAlignment="1" pivotButton="0" quotePrefix="0" xfId="0">
      <alignment horizontal="left" vertical="center" indent="2"/>
    </xf>
    <xf numFmtId="165" fontId="17" fillId="0" borderId="0" applyAlignment="1" pivotButton="0" quotePrefix="0" xfId="0">
      <alignment horizontal="right" vertical="center"/>
    </xf>
    <xf numFmtId="0" fontId="15" fillId="2" borderId="0" applyAlignment="1" pivotButton="0" quotePrefix="0" xfId="0">
      <alignment horizontal="left" vertical="center"/>
    </xf>
    <xf numFmtId="166" fontId="15" fillId="2" borderId="0" applyAlignment="1" pivotButton="0" quotePrefix="0" xfId="0">
      <alignment horizontal="right" vertical="center"/>
    </xf>
    <xf numFmtId="166" fontId="17" fillId="0" borderId="0" applyAlignment="1" pivotButton="0" quotePrefix="0" xfId="0">
      <alignment horizontal="right" vertical="center"/>
    </xf>
    <xf numFmtId="0" fontId="9" fillId="0" borderId="0" applyAlignment="1" pivotButton="0" quotePrefix="0" xfId="0">
      <alignment horizontal="left" vertical="center" indent="1"/>
    </xf>
    <xf numFmtId="168" fontId="9" fillId="0" borderId="0" applyAlignment="1" pivotButton="0" quotePrefix="0" xfId="0">
      <alignment horizontal="right" vertical="center"/>
    </xf>
    <xf numFmtId="0" fontId="10" fillId="0" borderId="0" applyAlignment="1" pivotButton="0" quotePrefix="0" xfId="0">
      <alignment horizontal="left" vertical="center" indent="2"/>
    </xf>
    <xf numFmtId="0" fontId="16" fillId="0" borderId="0" applyAlignment="1" pivotButton="0" quotePrefix="0" xfId="0">
      <alignment horizontal="left" vertical="center" indent="2"/>
    </xf>
    <xf numFmtId="166" fontId="16" fillId="0" borderId="0" applyAlignment="1" pivotButton="0" quotePrefix="0" xfId="0">
      <alignment horizontal="right" vertical="center"/>
    </xf>
    <xf numFmtId="165" fontId="18" fillId="2" borderId="0" applyAlignment="1" pivotButton="0" quotePrefix="0" xfId="0">
      <alignment horizontal="center" vertical="center" wrapText="1"/>
    </xf>
    <xf numFmtId="0" fontId="15" fillId="2" borderId="0" applyAlignment="1" pivotButton="0" quotePrefix="0" xfId="0">
      <alignment horizontal="right" vertical="center"/>
    </xf>
    <xf numFmtId="166" fontId="18" fillId="2" borderId="0" applyAlignment="1" pivotButton="0" quotePrefix="0" xfId="0">
      <alignment horizontal="center" vertical="center" wrapText="1"/>
    </xf>
    <xf numFmtId="165" fontId="9" fillId="6" borderId="0" applyAlignment="1" pivotButton="0" quotePrefix="0" xfId="0">
      <alignment horizontal="right" vertical="center"/>
    </xf>
    <xf numFmtId="0" fontId="16" fillId="0" borderId="0" applyAlignment="1" pivotButton="0" quotePrefix="0" xfId="0">
      <alignment horizontal="left" vertical="center" wrapText="1" indent="1"/>
    </xf>
    <xf numFmtId="167" fontId="9" fillId="6" borderId="0" applyAlignment="1" pivotButton="0" quotePrefix="0" xfId="0">
      <alignment horizontal="right" vertical="center"/>
    </xf>
    <xf numFmtId="0" fontId="9" fillId="5" borderId="0" applyAlignment="1" pivotButton="0" quotePrefix="0" xfId="0">
      <alignment horizontal="left" vertical="center" indent="2"/>
    </xf>
    <xf numFmtId="168" fontId="9" fillId="5" borderId="0" applyAlignment="1" pivotButton="0" quotePrefix="0" xfId="0">
      <alignment horizontal="right" vertical="center"/>
    </xf>
    <xf numFmtId="0" fontId="15" fillId="2" borderId="0" applyAlignment="1" pivotButton="0" quotePrefix="0" xfId="0">
      <alignment horizontal="left" vertical="center" indent="2"/>
    </xf>
    <xf numFmtId="0" fontId="10" fillId="0" borderId="0" applyAlignment="1" pivotButton="0" quotePrefix="0" xfId="0">
      <alignment horizontal="center" vertical="center" wrapText="1"/>
    </xf>
    <xf numFmtId="165" fontId="10" fillId="0" borderId="0" applyAlignment="1" pivotButton="0" quotePrefix="0" xfId="0">
      <alignment horizontal="center" vertical="center" wrapText="1"/>
    </xf>
    <xf numFmtId="0" fontId="10" fillId="0" borderId="0" applyAlignment="1" pivotButton="0" quotePrefix="0" xfId="0">
      <alignment horizontal="left" vertical="center" wrapText="1" indent="1"/>
    </xf>
    <xf numFmtId="0" fontId="10" fillId="6" borderId="0" applyAlignment="1" pivotButton="0" quotePrefix="0" xfId="0">
      <alignment horizontal="left" vertical="center" indent="2"/>
    </xf>
    <xf numFmtId="0" fontId="10" fillId="6" borderId="0" applyAlignment="1" pivotButton="0" quotePrefix="0" xfId="0">
      <alignment horizontal="center" vertical="center" wrapText="1"/>
    </xf>
    <xf numFmtId="167" fontId="10" fillId="6" borderId="0" applyAlignment="1" pivotButton="0" quotePrefix="0" xfId="0">
      <alignment horizontal="right" vertical="center"/>
    </xf>
    <xf numFmtId="165" fontId="10" fillId="6" borderId="0" applyAlignment="1" pivotButton="0" quotePrefix="0" xfId="0">
      <alignment horizontal="center" vertical="center" wrapText="1"/>
    </xf>
    <xf numFmtId="0" fontId="10" fillId="6" borderId="0" applyAlignment="1" pivotButton="0" quotePrefix="0" xfId="0">
      <alignment horizontal="left" vertical="center" wrapText="1" indent="1"/>
    </xf>
    <xf numFmtId="0" fontId="15" fillId="2" borderId="0" applyAlignment="1" pivotButton="0" quotePrefix="0" xfId="0">
      <alignment horizontal="center" vertical="center" wrapText="1"/>
    </xf>
    <xf numFmtId="167" fontId="15" fillId="2" borderId="0" applyAlignment="1" pivotButton="0" quotePrefix="0" xfId="0">
      <alignment horizontal="right" vertical="center"/>
    </xf>
    <xf numFmtId="165" fontId="15" fillId="2" borderId="0" applyAlignment="1" pivotButton="0" quotePrefix="0" xfId="0">
      <alignment horizontal="center" vertical="center" wrapText="1"/>
    </xf>
    <xf numFmtId="0" fontId="15" fillId="2" borderId="0" applyAlignment="1" pivotButton="0" quotePrefix="0" xfId="0">
      <alignment horizontal="left" vertical="center" wrapText="1" indent="1"/>
    </xf>
    <xf numFmtId="167" fontId="19" fillId="0" borderId="0" applyAlignment="1" pivotButton="0" quotePrefix="0" xfId="0">
      <alignment horizontal="right" vertical="center"/>
    </xf>
    <xf numFmtId="165" fontId="19" fillId="0" borderId="0" applyAlignment="1" pivotButton="0" quotePrefix="0" xfId="0">
      <alignment horizontal="right" vertical="center"/>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left" vertical="center"/>
    </xf>
    <xf numFmtId="0" fontId="5" fillId="0" borderId="0" applyAlignment="1" pivotButton="0" quotePrefix="0" xfId="0">
      <alignment horizontal="left" vertical="center"/>
    </xf>
    <xf numFmtId="0" fontId="6" fillId="0" borderId="0" applyAlignment="1" pivotButton="0" quotePrefix="0" xfId="0">
      <alignment horizontal="left" vertical="center"/>
    </xf>
    <xf numFmtId="0" fontId="7" fillId="0" borderId="0" applyAlignment="1" pivotButton="0" quotePrefix="0" xfId="0">
      <alignment horizontal="left" vertical="center"/>
    </xf>
    <xf numFmtId="0" fontId="0" fillId="2" borderId="0" applyAlignment="1" pivotButton="0" quotePrefix="0" xfId="0">
      <alignment horizontal="general" vertical="bottom"/>
    </xf>
    <xf numFmtId="0" fontId="8" fillId="3" borderId="0" applyAlignment="1" pivotButton="0" quotePrefix="0" xfId="0">
      <alignment horizontal="left" vertical="center"/>
    </xf>
    <xf numFmtId="0" fontId="9" fillId="0" borderId="0" applyAlignment="1" pivotButton="0" quotePrefix="0" xfId="0">
      <alignment horizontal="left" vertical="center"/>
    </xf>
    <xf numFmtId="0" fontId="10" fillId="0" borderId="0" applyAlignment="1" pivotButton="0" quotePrefix="0" xfId="0">
      <alignment horizontal="left" vertical="center"/>
    </xf>
    <xf numFmtId="0" fontId="11" fillId="0" borderId="0" applyAlignment="1" pivotButton="0" quotePrefix="0" xfId="0">
      <alignment horizontal="left" vertical="center"/>
    </xf>
    <xf numFmtId="0" fontId="12" fillId="0" borderId="0" applyAlignment="1" pivotButton="0" quotePrefix="0" xfId="0">
      <alignment horizontal="left" vertical="top" wrapText="1" indent="1"/>
    </xf>
    <xf numFmtId="0" fontId="13" fillId="2" borderId="0" applyAlignment="1" pivotButton="0" quotePrefix="0" xfId="0">
      <alignment horizontal="left" vertical="center" indent="1"/>
    </xf>
    <xf numFmtId="0" fontId="14" fillId="0" borderId="0" applyAlignment="1" pivotButton="0" quotePrefix="0" xfId="0">
      <alignment horizontal="left" vertical="center" indent="1"/>
    </xf>
    <xf numFmtId="0" fontId="15" fillId="4" borderId="1" applyAlignment="1" pivotButton="0" quotePrefix="0" xfId="0">
      <alignment horizontal="center" vertical="center" wrapText="1"/>
    </xf>
    <xf numFmtId="0" fontId="8" fillId="3" borderId="2" applyAlignment="1" pivotButton="0" quotePrefix="0" xfId="0">
      <alignment horizontal="left" vertical="center"/>
    </xf>
    <xf numFmtId="0" fontId="0" fillId="0" borderId="4" pivotButton="0" quotePrefix="0" xfId="0"/>
    <xf numFmtId="0" fontId="10" fillId="0" borderId="1" applyAlignment="1" pivotButton="0" quotePrefix="0" xfId="0">
      <alignment horizontal="left" vertical="center" indent="2"/>
    </xf>
    <xf numFmtId="0" fontId="10" fillId="0" borderId="1" applyAlignment="1" pivotButton="0" quotePrefix="0" xfId="0">
      <alignment horizontal="right" vertical="center"/>
    </xf>
    <xf numFmtId="0" fontId="16" fillId="0" borderId="1" applyAlignment="1" pivotButton="0" quotePrefix="0" xfId="0">
      <alignment horizontal="center" vertical="center" wrapText="1"/>
    </xf>
    <xf numFmtId="0" fontId="16" fillId="0" borderId="1" applyAlignment="1" pivotButton="0" quotePrefix="0" xfId="0">
      <alignment horizontal="left" vertical="center" wrapText="1" indent="1"/>
    </xf>
    <xf numFmtId="164" fontId="10" fillId="0" borderId="1" applyAlignment="1" pivotButton="0" quotePrefix="0" xfId="0">
      <alignment horizontal="right" vertical="center"/>
    </xf>
    <xf numFmtId="165" fontId="10" fillId="0" borderId="1" applyAlignment="1" pivotButton="0" quotePrefix="0" xfId="0">
      <alignment horizontal="right" vertical="center"/>
    </xf>
    <xf numFmtId="166" fontId="10" fillId="0" borderId="1" applyAlignment="1" pivotButton="0" quotePrefix="0" xfId="0">
      <alignment horizontal="right" vertical="center"/>
    </xf>
    <xf numFmtId="0" fontId="15" fillId="4" borderId="0" applyAlignment="1" pivotButton="0" quotePrefix="0" xfId="0">
      <alignment horizontal="center" vertical="center" wrapText="1"/>
    </xf>
    <xf numFmtId="0" fontId="10" fillId="0" borderId="0" applyAlignment="1" pivotButton="0" quotePrefix="0" xfId="0">
      <alignment horizontal="left" vertical="center" indent="1"/>
    </xf>
    <xf numFmtId="167" fontId="10" fillId="0" borderId="0" applyAlignment="1" pivotButton="0" quotePrefix="0" xfId="0">
      <alignment horizontal="right" vertical="center"/>
    </xf>
    <xf numFmtId="165" fontId="10" fillId="0" borderId="0" applyAlignment="1" pivotButton="0" quotePrefix="0" xfId="0">
      <alignment horizontal="right" vertical="center"/>
    </xf>
    <xf numFmtId="164" fontId="10" fillId="0" borderId="0" applyAlignment="1" pivotButton="0" quotePrefix="0" xfId="0">
      <alignment horizontal="right" vertical="center"/>
    </xf>
    <xf numFmtId="166" fontId="10" fillId="0" borderId="0" applyAlignment="1" pivotButton="0" quotePrefix="0" xfId="0">
      <alignment horizontal="right" vertical="center"/>
    </xf>
    <xf numFmtId="0" fontId="9" fillId="5" borderId="0" applyAlignment="1" pivotButton="0" quotePrefix="0" xfId="0">
      <alignment horizontal="left" vertical="center"/>
    </xf>
    <xf numFmtId="166" fontId="9" fillId="5" borderId="0" applyAlignment="1" pivotButton="0" quotePrefix="0" xfId="0">
      <alignment horizontal="right" vertical="center"/>
    </xf>
    <xf numFmtId="166" fontId="9" fillId="0" borderId="0" applyAlignment="1" pivotButton="0" quotePrefix="0" xfId="0">
      <alignment horizontal="right" vertical="center"/>
    </xf>
    <xf numFmtId="0" fontId="17" fillId="0" borderId="0" applyAlignment="1" pivotButton="0" quotePrefix="0" xfId="0">
      <alignment horizontal="left" vertical="center" indent="2"/>
    </xf>
    <xf numFmtId="165" fontId="17" fillId="0" borderId="0" applyAlignment="1" pivotButton="0" quotePrefix="0" xfId="0">
      <alignment horizontal="right" vertical="center"/>
    </xf>
    <xf numFmtId="0" fontId="15" fillId="2" borderId="0" applyAlignment="1" pivotButton="0" quotePrefix="0" xfId="0">
      <alignment horizontal="left" vertical="center"/>
    </xf>
    <xf numFmtId="166" fontId="15" fillId="2" borderId="0" applyAlignment="1" pivotButton="0" quotePrefix="0" xfId="0">
      <alignment horizontal="right" vertical="center"/>
    </xf>
    <xf numFmtId="166" fontId="17" fillId="0" borderId="0" applyAlignment="1" pivotButton="0" quotePrefix="0" xfId="0">
      <alignment horizontal="right" vertical="center"/>
    </xf>
    <xf numFmtId="0" fontId="9" fillId="0" borderId="0" applyAlignment="1" pivotButton="0" quotePrefix="0" xfId="0">
      <alignment horizontal="left" vertical="center" indent="1"/>
    </xf>
    <xf numFmtId="168" fontId="9" fillId="0" borderId="0" applyAlignment="1" pivotButton="0" quotePrefix="0" xfId="0">
      <alignment horizontal="right" vertical="center"/>
    </xf>
    <xf numFmtId="0" fontId="10" fillId="0" borderId="0" applyAlignment="1" pivotButton="0" quotePrefix="0" xfId="0">
      <alignment horizontal="left" vertical="center" indent="2"/>
    </xf>
    <xf numFmtId="0" fontId="16" fillId="0" borderId="0" applyAlignment="1" pivotButton="0" quotePrefix="0" xfId="0">
      <alignment horizontal="left" vertical="center" indent="2"/>
    </xf>
    <xf numFmtId="166" fontId="16" fillId="0" borderId="0" applyAlignment="1" pivotButton="0" quotePrefix="0" xfId="0">
      <alignment horizontal="right" vertical="center"/>
    </xf>
    <xf numFmtId="165" fontId="18" fillId="2" borderId="0" applyAlignment="1" pivotButton="0" quotePrefix="0" xfId="0">
      <alignment horizontal="center" vertical="center" wrapText="1"/>
    </xf>
    <xf numFmtId="0" fontId="15" fillId="2" borderId="0" applyAlignment="1" pivotButton="0" quotePrefix="0" xfId="0">
      <alignment horizontal="right" vertical="center"/>
    </xf>
    <xf numFmtId="166" fontId="18" fillId="2" borderId="0" applyAlignment="1" pivotButton="0" quotePrefix="0" xfId="0">
      <alignment horizontal="center" vertical="center" wrapText="1"/>
    </xf>
    <xf numFmtId="165" fontId="9" fillId="6" borderId="0" applyAlignment="1" pivotButton="0" quotePrefix="0" xfId="0">
      <alignment horizontal="right" vertical="center"/>
    </xf>
    <xf numFmtId="0" fontId="16" fillId="0" borderId="0" applyAlignment="1" pivotButton="0" quotePrefix="0" xfId="0">
      <alignment horizontal="left" vertical="center" wrapText="1" indent="1"/>
    </xf>
    <xf numFmtId="167" fontId="9" fillId="6" borderId="0" applyAlignment="1" pivotButton="0" quotePrefix="0" xfId="0">
      <alignment horizontal="right" vertical="center"/>
    </xf>
    <xf numFmtId="0" fontId="9" fillId="5" borderId="0" applyAlignment="1" pivotButton="0" quotePrefix="0" xfId="0">
      <alignment horizontal="left" vertical="center" indent="2"/>
    </xf>
    <xf numFmtId="168" fontId="9" fillId="5" borderId="0" applyAlignment="1" pivotButton="0" quotePrefix="0" xfId="0">
      <alignment horizontal="right" vertical="center"/>
    </xf>
    <xf numFmtId="0" fontId="15" fillId="2" borderId="0" applyAlignment="1" pivotButton="0" quotePrefix="0" xfId="0">
      <alignment horizontal="left" vertical="center" indent="2"/>
    </xf>
    <xf numFmtId="0" fontId="10" fillId="0" borderId="0" applyAlignment="1" pivotButton="0" quotePrefix="0" xfId="0">
      <alignment horizontal="center" vertical="center" wrapText="1"/>
    </xf>
    <xf numFmtId="165" fontId="10" fillId="0" borderId="0" applyAlignment="1" pivotButton="0" quotePrefix="0" xfId="0">
      <alignment horizontal="center" vertical="center" wrapText="1"/>
    </xf>
    <xf numFmtId="0" fontId="10" fillId="0" borderId="0" applyAlignment="1" pivotButton="0" quotePrefix="0" xfId="0">
      <alignment horizontal="left" vertical="center" wrapText="1" indent="1"/>
    </xf>
    <xf numFmtId="0" fontId="10" fillId="6" borderId="0" applyAlignment="1" pivotButton="0" quotePrefix="0" xfId="0">
      <alignment horizontal="left" vertical="center" indent="2"/>
    </xf>
    <xf numFmtId="0" fontId="10" fillId="6" borderId="0" applyAlignment="1" pivotButton="0" quotePrefix="0" xfId="0">
      <alignment horizontal="center" vertical="center" wrapText="1"/>
    </xf>
    <xf numFmtId="167" fontId="10" fillId="6" borderId="0" applyAlignment="1" pivotButton="0" quotePrefix="0" xfId="0">
      <alignment horizontal="right" vertical="center"/>
    </xf>
    <xf numFmtId="165" fontId="10" fillId="6" borderId="0" applyAlignment="1" pivotButton="0" quotePrefix="0" xfId="0">
      <alignment horizontal="center" vertical="center" wrapText="1"/>
    </xf>
    <xf numFmtId="0" fontId="10" fillId="6" borderId="0" applyAlignment="1" pivotButton="0" quotePrefix="0" xfId="0">
      <alignment horizontal="left" vertical="center" wrapText="1" indent="1"/>
    </xf>
    <xf numFmtId="0" fontId="15" fillId="2" borderId="0" applyAlignment="1" pivotButton="0" quotePrefix="0" xfId="0">
      <alignment horizontal="center" vertical="center" wrapText="1"/>
    </xf>
    <xf numFmtId="167" fontId="15" fillId="2" borderId="0" applyAlignment="1" pivotButton="0" quotePrefix="0" xfId="0">
      <alignment horizontal="right" vertical="center"/>
    </xf>
    <xf numFmtId="165" fontId="15" fillId="2" borderId="0" applyAlignment="1" pivotButton="0" quotePrefix="0" xfId="0">
      <alignment horizontal="center" vertical="center" wrapText="1"/>
    </xf>
    <xf numFmtId="0" fontId="15" fillId="2" borderId="0" applyAlignment="1" pivotButton="0" quotePrefix="0" xfId="0">
      <alignment horizontal="left" vertical="center" wrapText="1" indent="1"/>
    </xf>
    <xf numFmtId="167" fontId="19" fillId="0" borderId="0" applyAlignment="1" pivotButton="0" quotePrefix="0" xfId="0">
      <alignment horizontal="right" vertical="center"/>
    </xf>
    <xf numFmtId="165" fontId="19" fillId="0" borderId="0" applyAlignment="1" pivotButton="0" quotePrefix="0" xfId="0">
      <alignment horizontal="right" vertical="center"/>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1F1F1F"/>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B3:G38"/>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65" min="1" max="1"/>
    <col width="16" customWidth="1" style="65" min="2" max="7"/>
  </cols>
  <sheetData>
    <row r="2" ht="7.5" customHeight="1" s="66"/>
    <row r="3" ht="30" customHeight="1" s="66">
      <c r="B3" s="67" t="inlineStr">
        <is>
          <t>PROYECCIÓN DE INVERSIÓN</t>
        </is>
      </c>
    </row>
    <row r="4" ht="30" customHeight="1" s="66">
      <c r="B4" s="68" t="inlineStr">
        <is>
          <t>NOMAD</t>
        </is>
      </c>
    </row>
    <row r="5" ht="30" customHeight="1" s="66"/>
    <row r="6" ht="30" customHeight="1" s="66">
      <c r="B6" s="69" t="inlineStr">
        <is>
          <t>MOD COLLECTION BY SONESTA</t>
        </is>
      </c>
    </row>
    <row r="7" ht="30" customHeight="1" s="66">
      <c r="B7" s="70" t="inlineStr">
        <is>
          <t>La Romana, República Dominicana</t>
        </is>
      </c>
    </row>
    <row r="8" ht="30" customHeight="1" s="66"/>
    <row r="9" ht="3.75" customHeight="1" s="66">
      <c r="B9" s="71" t="n"/>
    </row>
    <row r="10" ht="7.5" customHeight="1" s="66"/>
    <row r="11" ht="21.75" customHeight="1" s="66">
      <c r="B11" s="72" t="inlineStr">
        <is>
          <t>RESUMEN EJECUTIVO</t>
        </is>
      </c>
    </row>
    <row r="12" ht="6" customHeight="1" s="66"/>
    <row r="13" ht="21.75" customHeight="1" s="66">
      <c r="B13" s="73" t="inlineStr">
        <is>
          <t>Proyecto</t>
        </is>
      </c>
      <c r="C13" s="74" t="inlineStr">
        <is>
          <t>NOMAD + MOD by Sonesta — Hotel 4 estrellas</t>
        </is>
      </c>
    </row>
    <row r="14" ht="21.75" customHeight="1" s="66">
      <c r="B14" s="73" t="inlineStr">
        <is>
          <t>Ubicación</t>
        </is>
      </c>
      <c r="C14" s="74" t="inlineStr">
        <is>
          <t>La Romana, República Dominicana</t>
        </is>
      </c>
    </row>
    <row r="15" ht="21.75" customHeight="1" s="66">
      <c r="B15" s="73" t="inlineStr">
        <is>
          <t>Desarrollador</t>
        </is>
      </c>
      <c r="C15" s="74" t="inlineStr">
        <is>
          <t>Grupo GDV SRL</t>
        </is>
      </c>
    </row>
    <row r="16" ht="21.75" customHeight="1" s="66">
      <c r="B16" s="73" t="inlineStr">
        <is>
          <t>Operador hotelero</t>
        </is>
      </c>
      <c r="C16" s="74" t="inlineStr">
        <is>
          <t>HCI Hotel Collection International / Sonesta</t>
        </is>
      </c>
    </row>
    <row r="17" ht="21.75" customHeight="1" s="66">
      <c r="B17" s="73" t="inlineStr">
        <is>
          <t>Habitaciones</t>
        </is>
      </c>
      <c r="C17" s="74" t="inlineStr">
        <is>
          <t>84 habitaciones</t>
        </is>
      </c>
    </row>
    <row r="18" ht="21.75" customHeight="1" s="66">
      <c r="B18" s="73" t="inlineStr">
        <is>
          <t>Estructura</t>
        </is>
      </c>
      <c r="C18" s="74" t="inlineStr">
        <is>
          <t>600 tickets de inversión a USD $10,000 c/u</t>
        </is>
      </c>
    </row>
    <row r="19" ht="21.75" customHeight="1" s="66">
      <c r="B19" s="73" t="inlineStr">
        <is>
          <t>Capital total a recaudar</t>
        </is>
      </c>
      <c r="C19" s="74" t="inlineStr">
        <is>
          <t>USD $6,000,000</t>
        </is>
      </c>
    </row>
    <row r="20" ht="21.75" customHeight="1" s="66">
      <c r="B20" s="73" t="inlineStr">
        <is>
          <t>Plazo de inversión</t>
        </is>
      </c>
      <c r="C20" s="74" t="inlineStr">
        <is>
          <t>5 años + período de construcción</t>
        </is>
      </c>
    </row>
    <row r="21" ht="21.75" customHeight="1" s="66">
      <c r="B21" s="73" t="inlineStr">
        <is>
          <t>Régimen fiscal</t>
        </is>
      </c>
      <c r="C21" s="74" t="inlineStr">
        <is>
          <t>Exento bajo Ley CONFOTUR 158-01</t>
        </is>
      </c>
    </row>
    <row r="23" ht="21.75" customHeight="1" s="66">
      <c r="B23" s="72" t="inlineStr">
        <is>
          <t>RETORNOS FIJOS</t>
        </is>
      </c>
    </row>
    <row r="24" ht="21.75" customHeight="1" s="66">
      <c r="B24" s="74" t="inlineStr">
        <is>
          <t>Período de construcción</t>
        </is>
      </c>
      <c r="C24" s="75" t="inlineStr">
        <is>
          <t>5%</t>
        </is>
      </c>
    </row>
    <row r="25" ht="21.75" customHeight="1" s="66">
      <c r="B25" s="74" t="inlineStr">
        <is>
          <t>Año 1 — Año 2 (operación)</t>
        </is>
      </c>
      <c r="C25" s="75" t="inlineStr">
        <is>
          <t>10% anual</t>
        </is>
      </c>
    </row>
    <row r="26" ht="21.75" customHeight="1" s="66">
      <c r="B26" s="74" t="inlineStr">
        <is>
          <t>Año 3 — Año 5 (operación)</t>
        </is>
      </c>
      <c r="C26" s="75" t="inlineStr">
        <is>
          <t>12% anual</t>
        </is>
      </c>
    </row>
    <row r="27" ht="21.75" customHeight="1" s="66">
      <c r="B27" s="74" t="inlineStr">
        <is>
          <t>Salida Año 5</t>
        </is>
      </c>
      <c r="C27" s="75" t="inlineStr">
        <is>
          <t>Capital + 10% de prima</t>
        </is>
      </c>
    </row>
    <row r="29" ht="21.75" customHeight="1" s="66">
      <c r="B29" s="72" t="inlineStr">
        <is>
          <t>CONTENIDO DEL DOCUMENTO</t>
        </is>
      </c>
    </row>
    <row r="30" ht="21.75" customHeight="1" s="66">
      <c r="B30" s="73" t="inlineStr">
        <is>
          <t>1. Bases del Modelo</t>
        </is>
      </c>
      <c r="C30" s="74" t="inlineStr">
        <is>
          <t>Variables clave del modelo de proyección.</t>
        </is>
      </c>
    </row>
    <row r="31" ht="21.75" customHeight="1" s="66">
      <c r="B31" s="73" t="inlineStr">
        <is>
          <t>2. Estado de Resultados</t>
        </is>
      </c>
      <c r="C31" s="74" t="inlineStr">
        <is>
          <t>Proyección de ingresos, costos y utilidades a 10 años.</t>
        </is>
      </c>
    </row>
    <row r="32" ht="21.75" customHeight="1" s="66">
      <c r="B32" s="73" t="inlineStr">
        <is>
          <t>3. Distribución al Inversionista</t>
        </is>
      </c>
      <c r="C32" s="74" t="inlineStr">
        <is>
          <t>Flujo de retornos por ticket, año por año.</t>
        </is>
      </c>
    </row>
    <row r="33" ht="21.75" customHeight="1" s="66">
      <c r="B33" s="73" t="inlineStr">
        <is>
          <t>4. Análisis de Sensibilidad</t>
        </is>
      </c>
      <c r="C33" s="74" t="inlineStr">
        <is>
          <t>Escenarios pesimista, base y optimista.</t>
        </is>
      </c>
    </row>
    <row r="34" ht="21.75" customHeight="1" s="66">
      <c r="B34" s="73" t="inlineStr">
        <is>
          <t>5. Mercado Comparable</t>
        </is>
      </c>
      <c r="C34" s="74" t="inlineStr">
        <is>
          <t>Hoteles de referencia que respaldan las proyecciones.</t>
        </is>
      </c>
    </row>
    <row r="37" ht="21.75" customHeight="1" s="66">
      <c r="B37" s="72" t="inlineStr">
        <is>
          <t>AVISO LEGAL</t>
        </is>
      </c>
    </row>
    <row r="38" ht="99.75" customHeight="1" s="66">
      <c r="B38" s="76" t="inlineStr">
        <is>
          <t>Este documento es de carácter informativo y confidencial. Las proyecciones presentadas son estimaciones basadas en supuestos de mercado y operación, y no constituyen una garantía de resultados futuros. Los rendimientos al inversionista están establecidos contractualmente e independientes del desempeño operativo del hotel. Este documento no constituye una oferta pública de valores. Se recomienda al inversionista realizar su propia debida diligencia y consultar con asesores profesionales independientes antes de tomar cualquier decisión de inversión.</t>
        </is>
      </c>
    </row>
  </sheetData>
  <mergeCells count="28">
    <mergeCell ref="C30:G30"/>
    <mergeCell ref="C34:G34"/>
    <mergeCell ref="C24:G24"/>
    <mergeCell ref="B23:G23"/>
    <mergeCell ref="C15:G15"/>
    <mergeCell ref="C33:G33"/>
    <mergeCell ref="B4:G5"/>
    <mergeCell ref="C14:G14"/>
    <mergeCell ref="B29:G29"/>
    <mergeCell ref="C26:G26"/>
    <mergeCell ref="B38:G38"/>
    <mergeCell ref="C20:G20"/>
    <mergeCell ref="B37:G37"/>
    <mergeCell ref="C16:G16"/>
    <mergeCell ref="B9:G9"/>
    <mergeCell ref="C25:G25"/>
    <mergeCell ref="C31:G31"/>
    <mergeCell ref="B6:G6"/>
    <mergeCell ref="C21:G21"/>
    <mergeCell ref="C27:G27"/>
    <mergeCell ref="B7:G7"/>
    <mergeCell ref="C17:G17"/>
    <mergeCell ref="B3:G3"/>
    <mergeCell ref="C32:G32"/>
    <mergeCell ref="C19:G19"/>
    <mergeCell ref="C13:G13"/>
    <mergeCell ref="C18:G18"/>
    <mergeCell ref="B11:G1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B3:E49"/>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65" min="1" max="1"/>
    <col width="42" customWidth="1" style="65" min="2" max="2"/>
    <col width="16" customWidth="1" style="65" min="3" max="3"/>
    <col width="14" customWidth="1" style="65" min="4" max="4"/>
    <col width="50" customWidth="1" style="65" min="5" max="5"/>
  </cols>
  <sheetData>
    <row r="2" ht="7.5" customHeight="1" s="66"/>
    <row r="3" ht="31.5" customHeight="1" s="66">
      <c r="B3" s="77" t="inlineStr">
        <is>
          <t>BASES DEL MODELO</t>
        </is>
      </c>
    </row>
    <row r="4" ht="21.75" customHeight="1" s="66">
      <c r="B4" s="78" t="inlineStr">
        <is>
          <t>Variables clave que sustentan la proyección financiera.</t>
        </is>
      </c>
    </row>
    <row r="5" ht="6" customHeight="1" s="66"/>
    <row r="6" ht="24" customHeight="1" s="66">
      <c r="B6" s="79" t="inlineStr">
        <is>
          <t>Variable</t>
        </is>
      </c>
      <c r="C6" s="79" t="inlineStr">
        <is>
          <t>Valor</t>
        </is>
      </c>
      <c r="D6" s="79" t="inlineStr">
        <is>
          <t>Unidad</t>
        </is>
      </c>
      <c r="E6" s="79" t="inlineStr">
        <is>
          <t>Referencia</t>
        </is>
      </c>
    </row>
    <row r="7" ht="21.75" customHeight="1" s="66">
      <c r="B7" s="80" t="inlineStr">
        <is>
          <t>PARÁMETROS DE LA PROPIEDAD</t>
        </is>
      </c>
      <c r="C7" s="81" t="n"/>
      <c r="D7" s="81" t="n"/>
      <c r="E7" s="81" t="n"/>
    </row>
    <row r="8" ht="19.5" customHeight="1" s="66">
      <c r="B8" s="82" t="inlineStr">
        <is>
          <t>Número de habitaciones</t>
        </is>
      </c>
      <c r="C8" s="83" t="n">
        <v>84</v>
      </c>
      <c r="D8" s="84" t="inlineStr">
        <is>
          <t>habitaciones</t>
        </is>
      </c>
      <c r="E8" s="85" t="inlineStr">
        <is>
          <t>Edificio 1</t>
        </is>
      </c>
    </row>
    <row r="9" ht="19.5" customHeight="1" s="66">
      <c r="B9" s="82" t="inlineStr">
        <is>
          <t>Días por año</t>
        </is>
      </c>
      <c r="C9" s="83" t="n">
        <v>365</v>
      </c>
      <c r="D9" s="84" t="inlineStr">
        <is>
          <t>días</t>
        </is>
      </c>
      <c r="E9" s="85" t="inlineStr">
        <is>
          <t>Estándar</t>
        </is>
      </c>
    </row>
    <row r="10" ht="19.5" customHeight="1" s="66">
      <c r="B10" s="82" t="inlineStr">
        <is>
          <t>Noches disponibles por año</t>
        </is>
      </c>
      <c r="C10" s="86">
        <f>C8*C9</f>
        <v/>
      </c>
      <c r="D10" s="84" t="inlineStr">
        <is>
          <t>noches</t>
        </is>
      </c>
      <c r="E10" s="85" t="inlineStr">
        <is>
          <t>Calculado</t>
        </is>
      </c>
    </row>
    <row r="11" ht="21.75" customHeight="1" s="66">
      <c r="B11" s="80" t="inlineStr">
        <is>
          <t>VARIABLES DE INGRESO</t>
        </is>
      </c>
      <c r="C11" s="81" t="n"/>
      <c r="D11" s="81" t="n"/>
      <c r="E11" s="81" t="n"/>
    </row>
    <row r="12" ht="19.5" customHeight="1" s="66">
      <c r="B12" s="82" t="inlineStr">
        <is>
          <t>Tarifa promedio diaria (ADR) Año 1</t>
        </is>
      </c>
      <c r="C12" s="83" t="n">
        <v>155</v>
      </c>
      <c r="D12" s="84" t="inlineStr">
        <is>
          <t>USD</t>
        </is>
      </c>
      <c r="E12" s="85" t="inlineStr">
        <is>
          <t>Posicionamiento 4★ MOD by Sonesta</t>
        </is>
      </c>
    </row>
    <row r="13" ht="19.5" customHeight="1" s="66">
      <c r="B13" s="82" t="inlineStr">
        <is>
          <t>Crecimiento anual de ADR</t>
        </is>
      </c>
      <c r="C13" s="87" t="n">
        <v>0.0194</v>
      </c>
      <c r="D13" s="84" t="inlineStr">
        <is>
          <t>%</t>
        </is>
      </c>
      <c r="E13" s="85" t="inlineStr">
        <is>
          <t>Incremento conservador anual</t>
        </is>
      </c>
    </row>
    <row r="14" ht="19.5" customHeight="1" s="66">
      <c r="B14" s="82" t="inlineStr">
        <is>
          <t>Ocupación Año 1</t>
        </is>
      </c>
      <c r="C14" s="87" t="n">
        <v>0.7</v>
      </c>
      <c r="D14" s="84" t="inlineStr">
        <is>
          <t>%</t>
        </is>
      </c>
      <c r="E14" s="85" t="inlineStr">
        <is>
          <t>Ramp-up estabilizado primer año</t>
        </is>
      </c>
    </row>
    <row r="15" ht="19.5" customHeight="1" s="66">
      <c r="B15" s="82" t="inlineStr">
        <is>
          <t>Incremento anual de ocupación</t>
        </is>
      </c>
      <c r="C15" s="87" t="n">
        <v>0.02</v>
      </c>
      <c r="D15" s="84" t="inlineStr">
        <is>
          <t>%</t>
        </is>
      </c>
      <c r="E15" s="85" t="inlineStr">
        <is>
          <t>Ramp-up gradual hasta estabilización</t>
        </is>
      </c>
    </row>
    <row r="16" ht="19.5" customHeight="1" s="66">
      <c r="B16" s="82" t="inlineStr">
        <is>
          <t>Ocupación máxima estabilizada</t>
        </is>
      </c>
      <c r="C16" s="87" t="n">
        <v>0.88</v>
      </c>
      <c r="D16" s="84" t="inlineStr">
        <is>
          <t>%</t>
        </is>
      </c>
      <c r="E16" s="85" t="inlineStr">
        <is>
          <t>Ocupación tope Año 10</t>
        </is>
      </c>
    </row>
    <row r="17" ht="19.5" customHeight="1" s="66">
      <c r="B17" s="82" t="inlineStr">
        <is>
          <t>Ingresos A&amp;B (% ingreso habitaciones)</t>
        </is>
      </c>
      <c r="C17" s="87" t="n">
        <v>0.065</v>
      </c>
      <c r="D17" s="84" t="inlineStr">
        <is>
          <t>%</t>
        </is>
      </c>
      <c r="E17" s="85" t="inlineStr">
        <is>
          <t>Alimentos y bebidas — formato servicio limitado</t>
        </is>
      </c>
    </row>
    <row r="18" ht="19.5" customHeight="1" s="66">
      <c r="B18" s="82" t="inlineStr">
        <is>
          <t>Ingresos otros departamentos (%)</t>
        </is>
      </c>
      <c r="C18" s="87" t="n">
        <v>0.035</v>
      </c>
      <c r="D18" s="84" t="inlineStr">
        <is>
          <t>%</t>
        </is>
      </c>
      <c r="E18" s="85" t="inlineStr">
        <is>
          <t>Coworking, paddle club, rooftop, otros</t>
        </is>
      </c>
    </row>
    <row r="19" ht="21.75" customHeight="1" s="66">
      <c r="B19" s="80" t="inlineStr">
        <is>
          <t>COSTOS DEPARTAMENTALES</t>
        </is>
      </c>
      <c r="C19" s="81" t="n"/>
      <c r="D19" s="81" t="n"/>
      <c r="E19" s="81" t="n"/>
    </row>
    <row r="20" ht="19.5" customHeight="1" s="66">
      <c r="B20" s="82" t="inlineStr">
        <is>
          <t>Costo de habitaciones (% ingresos)</t>
        </is>
      </c>
      <c r="C20" s="87" t="n">
        <v>0.22</v>
      </c>
      <c r="D20" s="84" t="inlineStr">
        <is>
          <t>%</t>
        </is>
      </c>
      <c r="E20" s="85" t="inlineStr">
        <is>
          <t>Housekeeping, lavandería, amenidades</t>
        </is>
      </c>
    </row>
    <row r="21" ht="19.5" customHeight="1" s="66">
      <c r="B21" s="82" t="inlineStr">
        <is>
          <t>Costo A&amp;B (% ingresos A&amp;B)</t>
        </is>
      </c>
      <c r="C21" s="87" t="n">
        <v>0.33</v>
      </c>
      <c r="D21" s="84" t="inlineStr">
        <is>
          <t>%</t>
        </is>
      </c>
      <c r="E21" s="85" t="inlineStr">
        <is>
          <t>Costo de alimentos y bebidas</t>
        </is>
      </c>
    </row>
    <row r="22" ht="19.5" customHeight="1" s="66">
      <c r="B22" s="82" t="inlineStr">
        <is>
          <t>Costo otros departamentos (%)</t>
        </is>
      </c>
      <c r="C22" s="87" t="n">
        <v>0.46</v>
      </c>
      <c r="D22" s="84" t="inlineStr">
        <is>
          <t>%</t>
        </is>
      </c>
      <c r="E22" s="85" t="inlineStr">
        <is>
          <t>Costos variables otros departamentos</t>
        </is>
      </c>
    </row>
    <row r="23" ht="21.75" customHeight="1" s="66">
      <c r="B23" s="80" t="inlineStr">
        <is>
          <t>GASTOS OPERATIVOS NO DISTRIBUIDOS</t>
        </is>
      </c>
      <c r="C23" s="81" t="n"/>
      <c r="D23" s="81" t="n"/>
      <c r="E23" s="81" t="n"/>
    </row>
    <row r="24" ht="19.5" customHeight="1" s="66">
      <c r="B24" s="82" t="inlineStr">
        <is>
          <t>Administración y generales (% ingresos)</t>
        </is>
      </c>
      <c r="C24" s="87" t="n">
        <v>0.1</v>
      </c>
      <c r="D24" s="84" t="inlineStr">
        <is>
          <t>%</t>
        </is>
      </c>
      <c r="E24" s="85" t="inlineStr">
        <is>
          <t>Personal administrativo y gastos generales</t>
        </is>
      </c>
    </row>
    <row r="25" ht="19.5" customHeight="1" s="66">
      <c r="B25" s="82" t="inlineStr">
        <is>
          <t>Electricidad Año 1 (CEPM)</t>
        </is>
      </c>
      <c r="C25" s="83" t="n">
        <v>257544</v>
      </c>
      <c r="D25" s="84" t="inlineStr">
        <is>
          <t>USD</t>
        </is>
      </c>
      <c r="E25" s="85" t="inlineStr">
        <is>
          <t>Tarifa CEPM aplicable</t>
        </is>
      </c>
    </row>
    <row r="26" ht="19.5" customHeight="1" s="66">
      <c r="B26" s="82" t="inlineStr">
        <is>
          <t>Otros servicios básicos Año 1</t>
        </is>
      </c>
      <c r="C26" s="83" t="n">
        <v>99798</v>
      </c>
      <c r="D26" s="84" t="inlineStr">
        <is>
          <t>USD</t>
        </is>
      </c>
      <c r="E26" s="85" t="inlineStr">
        <is>
          <t>Agua, gas, residuos</t>
        </is>
      </c>
    </row>
    <row r="27" ht="19.5" customHeight="1" s="66">
      <c r="B27" s="82" t="inlineStr">
        <is>
          <t>Telecomunicaciones Año 1</t>
        </is>
      </c>
      <c r="C27" s="83" t="n">
        <v>32933</v>
      </c>
      <c r="D27" s="84" t="inlineStr">
        <is>
          <t>USD</t>
        </is>
      </c>
      <c r="E27" s="85" t="inlineStr">
        <is>
          <t>Internet, telefonía, sistemas</t>
        </is>
      </c>
    </row>
    <row r="28" ht="19.5" customHeight="1" s="66">
      <c r="B28" s="82" t="inlineStr">
        <is>
          <t>Mantenimiento (% ingresos)</t>
        </is>
      </c>
      <c r="C28" s="87" t="n">
        <v>0.0182</v>
      </c>
      <c r="D28" s="84" t="inlineStr">
        <is>
          <t>%</t>
        </is>
      </c>
      <c r="E28" s="85" t="inlineStr">
        <is>
          <t>Mantenimiento preventivo y correctivo</t>
        </is>
      </c>
    </row>
    <row r="29" ht="19.5" customHeight="1" s="66">
      <c r="B29" s="82" t="inlineStr">
        <is>
          <t>Marketing Año 1</t>
        </is>
      </c>
      <c r="C29" s="83" t="n">
        <v>150000</v>
      </c>
      <c r="D29" s="84" t="inlineStr">
        <is>
          <t>USD</t>
        </is>
      </c>
      <c r="E29" s="85" t="inlineStr">
        <is>
          <t>Inversión inicial de apertura</t>
        </is>
      </c>
    </row>
    <row r="30" ht="19.5" customHeight="1" s="66">
      <c r="B30" s="82" t="inlineStr">
        <is>
          <t>Marketing estabilizado (Año 4+)</t>
        </is>
      </c>
      <c r="C30" s="83" t="n">
        <v>50000</v>
      </c>
      <c r="D30" s="84" t="inlineStr">
        <is>
          <t>USD</t>
        </is>
      </c>
      <c r="E30" s="85" t="inlineStr">
        <is>
          <t>Inversión estabilizada post-apertura</t>
        </is>
      </c>
    </row>
    <row r="31" ht="19.5" customHeight="1" s="66">
      <c r="B31" s="82" t="inlineStr">
        <is>
          <t>Inflación anual de gastos</t>
        </is>
      </c>
      <c r="C31" s="87" t="n">
        <v>0.035</v>
      </c>
      <c r="D31" s="84" t="inlineStr">
        <is>
          <t>%</t>
        </is>
      </c>
      <c r="E31" s="85" t="inlineStr">
        <is>
          <t>Promedio histórico IPC República Dominicana</t>
        </is>
      </c>
    </row>
    <row r="32" ht="21.75" customHeight="1" s="66">
      <c r="B32" s="80" t="inlineStr">
        <is>
          <t>COMISIONES DE FRANQUICIA Y OPERACIÓN</t>
        </is>
      </c>
      <c r="C32" s="81" t="n"/>
      <c r="D32" s="81" t="n"/>
      <c r="E32" s="81" t="n"/>
    </row>
    <row r="33" ht="19.5" customHeight="1" s="66">
      <c r="B33" s="82" t="inlineStr">
        <is>
          <t>Royalty Sonesta (% ingresos habitaciones)</t>
        </is>
      </c>
      <c r="C33" s="87" t="n">
        <v>0.05</v>
      </c>
      <c r="D33" s="84" t="inlineStr">
        <is>
          <t>%</t>
        </is>
      </c>
      <c r="E33" s="85" t="inlineStr">
        <is>
          <t>Comisión de franquicia MOD by Sonesta</t>
        </is>
      </c>
    </row>
    <row r="34" ht="19.5" customHeight="1" s="66">
      <c r="B34" s="82" t="inlineStr">
        <is>
          <t>Fondo de marketing Sonesta (%)</t>
        </is>
      </c>
      <c r="C34" s="87" t="n">
        <v>0.025</v>
      </c>
      <c r="D34" s="84" t="inlineStr">
        <is>
          <t>%</t>
        </is>
      </c>
      <c r="E34" s="85" t="inlineStr">
        <is>
          <t>Aporte al fondo de marketing de la marca</t>
        </is>
      </c>
    </row>
    <row r="35" ht="19.5" customHeight="1" s="66">
      <c r="B35" s="82" t="inlineStr">
        <is>
          <t>Reservas Sonesta (%)</t>
        </is>
      </c>
      <c r="C35" s="87" t="n">
        <v>0.015</v>
      </c>
      <c r="D35" s="84" t="inlineStr">
        <is>
          <t>%</t>
        </is>
      </c>
      <c r="E35" s="85" t="inlineStr">
        <is>
          <t>Sistema central de reservas</t>
        </is>
      </c>
    </row>
    <row r="36" ht="19.5" customHeight="1" s="66">
      <c r="B36" s="82" t="inlineStr">
        <is>
          <t>Honorario base operador HCI (%)</t>
        </is>
      </c>
      <c r="C36" s="87" t="n">
        <v>0.03</v>
      </c>
      <c r="D36" s="84" t="inlineStr">
        <is>
          <t>%</t>
        </is>
      </c>
      <c r="E36" s="85" t="inlineStr">
        <is>
          <t>Honorario base de operación hotelera</t>
        </is>
      </c>
    </row>
    <row r="37" ht="19.5" customHeight="1" s="66">
      <c r="B37" s="82" t="inlineStr">
        <is>
          <t>Honorario incentivo operador (% GOP)</t>
        </is>
      </c>
      <c r="C37" s="87" t="n">
        <v>0.1</v>
      </c>
      <c r="D37" s="84" t="inlineStr">
        <is>
          <t>%</t>
        </is>
      </c>
      <c r="E37" s="85" t="inlineStr">
        <is>
          <t>Honorario por desempeño sobre utilidad operativa</t>
        </is>
      </c>
    </row>
    <row r="38" ht="21.75" customHeight="1" s="66">
      <c r="B38" s="80" t="inlineStr">
        <is>
          <t>CARGOS FIJOS Y RESERVAS</t>
        </is>
      </c>
      <c r="C38" s="81" t="n"/>
      <c r="D38" s="81" t="n"/>
      <c r="E38" s="81" t="n"/>
    </row>
    <row r="39" ht="19.5" customHeight="1" s="66">
      <c r="B39" s="82" t="inlineStr">
        <is>
          <t>Seguros Año 1</t>
        </is>
      </c>
      <c r="C39" s="83" t="n">
        <v>109778</v>
      </c>
      <c r="D39" s="84" t="inlineStr">
        <is>
          <t>USD</t>
        </is>
      </c>
      <c r="E39" s="85" t="inlineStr">
        <is>
          <t>Pólizas hoteleras</t>
        </is>
      </c>
    </row>
    <row r="40" ht="19.5" customHeight="1" s="66">
      <c r="B40" s="82" t="inlineStr">
        <is>
          <t>Impuesto sobre la propiedad</t>
        </is>
      </c>
      <c r="C40" s="83" t="n">
        <v>0</v>
      </c>
      <c r="D40" s="84" t="inlineStr">
        <is>
          <t>USD</t>
        </is>
      </c>
      <c r="E40" s="85" t="inlineStr">
        <is>
          <t>Exento bajo Ley CONFOTUR 158-01</t>
        </is>
      </c>
    </row>
    <row r="41" ht="19.5" customHeight="1" s="66">
      <c r="B41" s="82" t="inlineStr">
        <is>
          <t>Reserva FF&amp;E (% ingresos)</t>
        </is>
      </c>
      <c r="C41" s="87" t="n">
        <v>0.04</v>
      </c>
      <c r="D41" s="84" t="inlineStr">
        <is>
          <t>%</t>
        </is>
      </c>
      <c r="E41" s="85" t="inlineStr">
        <is>
          <t>Reserva para reposición de mobiliario y equipamiento</t>
        </is>
      </c>
    </row>
    <row r="42" ht="21.75" customHeight="1" s="66">
      <c r="B42" s="80" t="inlineStr">
        <is>
          <t>ESTRUCTURA DE CAPITAL Y RETORNOS</t>
        </is>
      </c>
      <c r="C42" s="81" t="n"/>
      <c r="D42" s="81" t="n"/>
      <c r="E42" s="81" t="n"/>
    </row>
    <row r="43" ht="19.5" customHeight="1" s="66">
      <c r="B43" s="82" t="inlineStr">
        <is>
          <t>Total de tickets (Edificio 1)</t>
        </is>
      </c>
      <c r="C43" s="83" t="n">
        <v>600</v>
      </c>
      <c r="D43" s="84" t="inlineStr">
        <is>
          <t>tickets</t>
        </is>
      </c>
      <c r="E43" s="85" t="inlineStr">
        <is>
          <t>Pool fraccionado de inversión</t>
        </is>
      </c>
    </row>
    <row r="44" ht="19.5" customHeight="1" s="66">
      <c r="B44" s="82" t="inlineStr">
        <is>
          <t>Precio por ticket</t>
        </is>
      </c>
      <c r="C44" s="83" t="n">
        <v>10000</v>
      </c>
      <c r="D44" s="84" t="inlineStr">
        <is>
          <t>USD</t>
        </is>
      </c>
      <c r="E44" s="85" t="inlineStr">
        <is>
          <t>Precio actualizado abril 2026</t>
        </is>
      </c>
    </row>
    <row r="45" ht="19.5" customHeight="1" s="66">
      <c r="B45" s="82" t="inlineStr">
        <is>
          <t>Capital total a recaudar</t>
        </is>
      </c>
      <c r="C45" s="88">
        <f>C43*C44</f>
        <v/>
      </c>
      <c r="D45" s="84" t="inlineStr">
        <is>
          <t>USD</t>
        </is>
      </c>
      <c r="E45" s="85" t="inlineStr">
        <is>
          <t>Calculado</t>
        </is>
      </c>
    </row>
    <row r="46" ht="19.5" customHeight="1" s="66">
      <c r="B46" s="82" t="inlineStr">
        <is>
          <t>Retorno período de construcción</t>
        </is>
      </c>
      <c r="C46" s="87" t="n">
        <v>0.05</v>
      </c>
      <c r="D46" s="84" t="inlineStr">
        <is>
          <t>%</t>
        </is>
      </c>
      <c r="E46" s="85" t="inlineStr">
        <is>
          <t>Fijo durante construcción</t>
        </is>
      </c>
    </row>
    <row r="47" ht="19.5" customHeight="1" s="66">
      <c r="B47" s="82" t="inlineStr">
        <is>
          <t>Retorno operativo Años 1-2</t>
        </is>
      </c>
      <c r="C47" s="87" t="n">
        <v>0.1</v>
      </c>
      <c r="D47" s="84" t="inlineStr">
        <is>
          <t>%</t>
        </is>
      </c>
      <c r="E47" s="85" t="inlineStr">
        <is>
          <t>Fijo por contrato</t>
        </is>
      </c>
    </row>
    <row r="48" ht="19.5" customHeight="1" s="66">
      <c r="B48" s="82" t="inlineStr">
        <is>
          <t>Retorno operativo Años 3-5</t>
        </is>
      </c>
      <c r="C48" s="87" t="n">
        <v>0.12</v>
      </c>
      <c r="D48" s="84" t="inlineStr">
        <is>
          <t>%</t>
        </is>
      </c>
      <c r="E48" s="85" t="inlineStr">
        <is>
          <t>Fijo por contrato</t>
        </is>
      </c>
    </row>
    <row r="49" ht="19.5" customHeight="1" s="66">
      <c r="B49" s="82" t="inlineStr">
        <is>
          <t>Prima al cierre Año 5</t>
        </is>
      </c>
      <c r="C49" s="87" t="n">
        <v>0.1</v>
      </c>
      <c r="D49" s="84" t="inlineStr">
        <is>
          <t>%</t>
        </is>
      </c>
      <c r="E49" s="85" t="inlineStr">
        <is>
          <t>Capital original + 10% de prima</t>
        </is>
      </c>
    </row>
  </sheetData>
  <mergeCells count="9">
    <mergeCell ref="B23:E23"/>
    <mergeCell ref="B4:E4"/>
    <mergeCell ref="B38:E38"/>
    <mergeCell ref="B7:E7"/>
    <mergeCell ref="B11:E11"/>
    <mergeCell ref="B3:E3"/>
    <mergeCell ref="B19:E19"/>
    <mergeCell ref="B42:E42"/>
    <mergeCell ref="B32:E3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B3:M50"/>
  <sheetViews>
    <sheetView showFormulas="0" showGridLines="0" showRowColHeaders="1" showZeros="1" rightToLeft="0" tabSelected="0" showOutlineSymbols="1" defaultGridColor="1"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baseColWidth="8" defaultColWidth="8.6796875" defaultRowHeight="15" zeroHeight="0" outlineLevelRow="0"/>
  <cols>
    <col width="2" customWidth="1" style="65" min="1" max="1"/>
    <col width="44" customWidth="1" style="65" min="2" max="2"/>
    <col width="13" customWidth="1" style="65" min="3" max="13"/>
  </cols>
  <sheetData>
    <row r="2" ht="7.5" customHeight="1" s="66"/>
    <row r="3" ht="31.5" customHeight="1" s="66">
      <c r="B3" s="77" t="inlineStr">
        <is>
          <t>ESTADO DE RESULTADOS PROYECTADO — 10 AÑOS</t>
        </is>
      </c>
    </row>
    <row r="4" ht="21.75" customHeight="1" s="66">
      <c r="B4" s="78" t="inlineStr">
        <is>
          <t>Cifras en USD. Años corresponden a años operativos del hotel.</t>
        </is>
      </c>
    </row>
    <row r="5" ht="6" customHeight="1" s="66"/>
    <row r="6" ht="27.75" customHeight="1" s="66">
      <c r="B6" s="89" t="inlineStr">
        <is>
          <t>USD</t>
        </is>
      </c>
      <c r="C6" s="89" t="inlineStr">
        <is>
          <t>Año 1</t>
        </is>
      </c>
      <c r="D6" s="89" t="inlineStr">
        <is>
          <t>Año 2</t>
        </is>
      </c>
      <c r="E6" s="89" t="inlineStr">
        <is>
          <t>Año 3</t>
        </is>
      </c>
      <c r="F6" s="89" t="inlineStr">
        <is>
          <t>Año 4</t>
        </is>
      </c>
      <c r="G6" s="89" t="inlineStr">
        <is>
          <t>Año 5</t>
        </is>
      </c>
      <c r="H6" s="89" t="inlineStr">
        <is>
          <t>Año 6</t>
        </is>
      </c>
      <c r="I6" s="89" t="inlineStr">
        <is>
          <t>Año 7</t>
        </is>
      </c>
      <c r="J6" s="89" t="inlineStr">
        <is>
          <t>Año 8</t>
        </is>
      </c>
      <c r="K6" s="89" t="inlineStr">
        <is>
          <t>Año 9</t>
        </is>
      </c>
      <c r="L6" s="89" t="inlineStr">
        <is>
          <t>Año 10</t>
        </is>
      </c>
    </row>
    <row r="7" ht="21.75" customHeight="1" s="66">
      <c r="B7" s="72" t="inlineStr">
        <is>
          <t>INDICADORES OPERATIVOS</t>
        </is>
      </c>
    </row>
    <row r="8" ht="18" customHeight="1" s="66">
      <c r="B8" s="90" t="inlineStr">
        <is>
          <t>Tarifa promedio diaria (ADR)</t>
        </is>
      </c>
      <c r="C8" s="91">
        <f>'Bases del Modelo'!$C$12</f>
        <v/>
      </c>
      <c r="D8" s="91">
        <f>C8*(1+'Bases del Modelo'!$C$13)</f>
        <v/>
      </c>
      <c r="E8" s="91">
        <f>D8*(1+'Bases del Modelo'!$C$13)</f>
        <v/>
      </c>
      <c r="F8" s="91">
        <f>E8*(1+'Bases del Modelo'!$C$13)</f>
        <v/>
      </c>
      <c r="G8" s="91">
        <f>F8*(1+'Bases del Modelo'!$C$13)</f>
        <v/>
      </c>
      <c r="H8" s="91">
        <f>G8*(1+'Bases del Modelo'!$C$13)</f>
        <v/>
      </c>
      <c r="I8" s="91">
        <f>H8*(1+'Bases del Modelo'!$C$13)</f>
        <v/>
      </c>
      <c r="J8" s="91">
        <f>I8*(1+'Bases del Modelo'!$C$13)</f>
        <v/>
      </c>
      <c r="K8" s="91">
        <f>J8*(1+'Bases del Modelo'!$C$13)</f>
        <v/>
      </c>
      <c r="L8" s="91">
        <f>K8*(1+'Bases del Modelo'!$C$13)</f>
        <v/>
      </c>
    </row>
    <row r="9" ht="18" customHeight="1" s="66">
      <c r="B9" s="90" t="inlineStr">
        <is>
          <t>Ocupación</t>
        </is>
      </c>
      <c r="C9" s="92">
        <f>MIN('Bases del Modelo'!$C$14+0*'Bases del Modelo'!$C$15,'Bases del Modelo'!$C$16)</f>
        <v/>
      </c>
      <c r="D9" s="92">
        <f>MIN('Bases del Modelo'!$C$14+1*'Bases del Modelo'!$C$15,'Bases del Modelo'!$C$16)</f>
        <v/>
      </c>
      <c r="E9" s="92">
        <f>MIN('Bases del Modelo'!$C$14+2*'Bases del Modelo'!$C$15,'Bases del Modelo'!$C$16)</f>
        <v/>
      </c>
      <c r="F9" s="92">
        <f>MIN('Bases del Modelo'!$C$14+3*'Bases del Modelo'!$C$15,'Bases del Modelo'!$C$16)</f>
        <v/>
      </c>
      <c r="G9" s="92">
        <f>MIN('Bases del Modelo'!$C$14+4*'Bases del Modelo'!$C$15,'Bases del Modelo'!$C$16)</f>
        <v/>
      </c>
      <c r="H9" s="92">
        <f>MIN('Bases del Modelo'!$C$14+5*'Bases del Modelo'!$C$15,'Bases del Modelo'!$C$16)</f>
        <v/>
      </c>
      <c r="I9" s="92">
        <f>MIN('Bases del Modelo'!$C$14+6*'Bases del Modelo'!$C$15,'Bases del Modelo'!$C$16)</f>
        <v/>
      </c>
      <c r="J9" s="92">
        <f>MIN('Bases del Modelo'!$C$14+7*'Bases del Modelo'!$C$15,'Bases del Modelo'!$C$16)</f>
        <v/>
      </c>
      <c r="K9" s="92">
        <f>MIN('Bases del Modelo'!$C$14+8*'Bases del Modelo'!$C$15,'Bases del Modelo'!$C$16)</f>
        <v/>
      </c>
      <c r="L9" s="92">
        <f>MIN('Bases del Modelo'!$C$14+9*'Bases del Modelo'!$C$15,'Bases del Modelo'!$C$16)</f>
        <v/>
      </c>
    </row>
    <row r="10" ht="18" customHeight="1" s="66">
      <c r="B10" s="90" t="inlineStr">
        <is>
          <t>Noches disponibles</t>
        </is>
      </c>
      <c r="C10" s="93">
        <f>'Bases del Modelo'!$C$10</f>
        <v/>
      </c>
      <c r="D10" s="93">
        <f>'Bases del Modelo'!$C$10</f>
        <v/>
      </c>
      <c r="E10" s="93">
        <f>'Bases del Modelo'!$C$10</f>
        <v/>
      </c>
      <c r="F10" s="93">
        <f>'Bases del Modelo'!$C$10</f>
        <v/>
      </c>
      <c r="G10" s="93">
        <f>'Bases del Modelo'!$C$10</f>
        <v/>
      </c>
      <c r="H10" s="93">
        <f>'Bases del Modelo'!$C$10</f>
        <v/>
      </c>
      <c r="I10" s="93">
        <f>'Bases del Modelo'!$C$10</f>
        <v/>
      </c>
      <c r="J10" s="93">
        <f>'Bases del Modelo'!$C$10</f>
        <v/>
      </c>
      <c r="K10" s="93">
        <f>'Bases del Modelo'!$C$10</f>
        <v/>
      </c>
      <c r="L10" s="93">
        <f>'Bases del Modelo'!$C$10</f>
        <v/>
      </c>
    </row>
    <row r="11" ht="18" customHeight="1" s="66">
      <c r="B11" s="90" t="inlineStr">
        <is>
          <t>Noches ocupadas</t>
        </is>
      </c>
      <c r="C11" s="93">
        <f>C10*C9</f>
        <v/>
      </c>
      <c r="D11" s="93">
        <f>D10*D9</f>
        <v/>
      </c>
      <c r="E11" s="93">
        <f>E10*E9</f>
        <v/>
      </c>
      <c r="F11" s="93">
        <f>F10*F9</f>
        <v/>
      </c>
      <c r="G11" s="93">
        <f>G10*G9</f>
        <v/>
      </c>
      <c r="H11" s="93">
        <f>H10*H9</f>
        <v/>
      </c>
      <c r="I11" s="93">
        <f>I10*I9</f>
        <v/>
      </c>
      <c r="J11" s="93">
        <f>J10*J9</f>
        <v/>
      </c>
      <c r="K11" s="93">
        <f>K10*K9</f>
        <v/>
      </c>
      <c r="L11" s="93">
        <f>L10*L9</f>
        <v/>
      </c>
    </row>
    <row r="12" ht="21.75" customHeight="1" s="66">
      <c r="B12" s="72" t="inlineStr">
        <is>
          <t>INGRESOS</t>
        </is>
      </c>
    </row>
    <row r="13" ht="18" customHeight="1" s="66">
      <c r="B13" s="90" t="inlineStr">
        <is>
          <t>Ingresos por habitaciones</t>
        </is>
      </c>
      <c r="C13" s="94">
        <f>C11*C8</f>
        <v/>
      </c>
      <c r="D13" s="94">
        <f>D11*D8</f>
        <v/>
      </c>
      <c r="E13" s="94">
        <f>E11*E8</f>
        <v/>
      </c>
      <c r="F13" s="94">
        <f>F11*F8</f>
        <v/>
      </c>
      <c r="G13" s="94">
        <f>G11*G8</f>
        <v/>
      </c>
      <c r="H13" s="94">
        <f>H11*H8</f>
        <v/>
      </c>
      <c r="I13" s="94">
        <f>I11*I8</f>
        <v/>
      </c>
      <c r="J13" s="94">
        <f>J11*J8</f>
        <v/>
      </c>
      <c r="K13" s="94">
        <f>K11*K8</f>
        <v/>
      </c>
      <c r="L13" s="94">
        <f>L11*L8</f>
        <v/>
      </c>
    </row>
    <row r="14" ht="18" customHeight="1" s="66">
      <c r="B14" s="90" t="inlineStr">
        <is>
          <t>Ingresos alimentos y bebidas</t>
        </is>
      </c>
      <c r="C14" s="94">
        <f>C13*'Bases del Modelo'!$C$17</f>
        <v/>
      </c>
      <c r="D14" s="94">
        <f>D13*'Bases del Modelo'!$C$17</f>
        <v/>
      </c>
      <c r="E14" s="94">
        <f>E13*'Bases del Modelo'!$C$17</f>
        <v/>
      </c>
      <c r="F14" s="94">
        <f>F13*'Bases del Modelo'!$C$17</f>
        <v/>
      </c>
      <c r="G14" s="94">
        <f>G13*'Bases del Modelo'!$C$17</f>
        <v/>
      </c>
      <c r="H14" s="94">
        <f>H13*'Bases del Modelo'!$C$17</f>
        <v/>
      </c>
      <c r="I14" s="94">
        <f>I13*'Bases del Modelo'!$C$17</f>
        <v/>
      </c>
      <c r="J14" s="94">
        <f>J13*'Bases del Modelo'!$C$17</f>
        <v/>
      </c>
      <c r="K14" s="94">
        <f>K13*'Bases del Modelo'!$C$17</f>
        <v/>
      </c>
      <c r="L14" s="94">
        <f>L13*'Bases del Modelo'!$C$17</f>
        <v/>
      </c>
    </row>
    <row r="15" ht="18" customHeight="1" s="66">
      <c r="B15" s="90" t="inlineStr">
        <is>
          <t>Ingresos otros departamentos</t>
        </is>
      </c>
      <c r="C15" s="94">
        <f>C13*'Bases del Modelo'!$C$18</f>
        <v/>
      </c>
      <c r="D15" s="94">
        <f>D13*'Bases del Modelo'!$C$18</f>
        <v/>
      </c>
      <c r="E15" s="94">
        <f>E13*'Bases del Modelo'!$C$18</f>
        <v/>
      </c>
      <c r="F15" s="94">
        <f>F13*'Bases del Modelo'!$C$18</f>
        <v/>
      </c>
      <c r="G15" s="94">
        <f>G13*'Bases del Modelo'!$C$18</f>
        <v/>
      </c>
      <c r="H15" s="94">
        <f>H13*'Bases del Modelo'!$C$18</f>
        <v/>
      </c>
      <c r="I15" s="94">
        <f>I13*'Bases del Modelo'!$C$18</f>
        <v/>
      </c>
      <c r="J15" s="94">
        <f>J13*'Bases del Modelo'!$C$18</f>
        <v/>
      </c>
      <c r="K15" s="94">
        <f>K13*'Bases del Modelo'!$C$18</f>
        <v/>
      </c>
      <c r="L15" s="94">
        <f>L13*'Bases del Modelo'!$C$18</f>
        <v/>
      </c>
    </row>
    <row r="16" ht="18" customHeight="1" s="66">
      <c r="B16" s="95" t="inlineStr">
        <is>
          <t>INGRESOS TOTALES</t>
        </is>
      </c>
      <c r="C16" s="96">
        <f>SUM(C13:C15)</f>
        <v/>
      </c>
      <c r="D16" s="96">
        <f>SUM(D13:D15)</f>
        <v/>
      </c>
      <c r="E16" s="96">
        <f>SUM(E13:E15)</f>
        <v/>
      </c>
      <c r="F16" s="96">
        <f>SUM(F13:F15)</f>
        <v/>
      </c>
      <c r="G16" s="96">
        <f>SUM(G13:G15)</f>
        <v/>
      </c>
      <c r="H16" s="96">
        <f>SUM(H13:H15)</f>
        <v/>
      </c>
      <c r="I16" s="96">
        <f>SUM(I13:I15)</f>
        <v/>
      </c>
      <c r="J16" s="96">
        <f>SUM(J13:J15)</f>
        <v/>
      </c>
      <c r="K16" s="96">
        <f>SUM(K13:K15)</f>
        <v/>
      </c>
      <c r="L16" s="96">
        <f>SUM(L13:L15)</f>
        <v/>
      </c>
    </row>
    <row r="17" ht="21.75" customHeight="1" s="66">
      <c r="B17" s="72" t="inlineStr">
        <is>
          <t>COSTOS DEPARTAMENTALES</t>
        </is>
      </c>
    </row>
    <row r="18" ht="18" customHeight="1" s="66">
      <c r="B18" s="90" t="inlineStr">
        <is>
          <t>Costo habitaciones</t>
        </is>
      </c>
      <c r="C18" s="94">
        <f>C13*'Bases del Modelo'!$C$20</f>
        <v/>
      </c>
      <c r="D18" s="94">
        <f>D13*'Bases del Modelo'!$C$20</f>
        <v/>
      </c>
      <c r="E18" s="94">
        <f>E13*'Bases del Modelo'!$C$20</f>
        <v/>
      </c>
      <c r="F18" s="94">
        <f>F13*'Bases del Modelo'!$C$20</f>
        <v/>
      </c>
      <c r="G18" s="94">
        <f>G13*'Bases del Modelo'!$C$20</f>
        <v/>
      </c>
      <c r="H18" s="94">
        <f>H13*'Bases del Modelo'!$C$20</f>
        <v/>
      </c>
      <c r="I18" s="94">
        <f>I13*'Bases del Modelo'!$C$20</f>
        <v/>
      </c>
      <c r="J18" s="94">
        <f>J13*'Bases del Modelo'!$C$20</f>
        <v/>
      </c>
      <c r="K18" s="94">
        <f>K13*'Bases del Modelo'!$C$20</f>
        <v/>
      </c>
      <c r="L18" s="94">
        <f>L13*'Bases del Modelo'!$C$20</f>
        <v/>
      </c>
    </row>
    <row r="19" ht="18" customHeight="1" s="66">
      <c r="B19" s="90" t="inlineStr">
        <is>
          <t>Costo alimentos y bebidas</t>
        </is>
      </c>
      <c r="C19" s="94">
        <f>C14*'Bases del Modelo'!$C$21</f>
        <v/>
      </c>
      <c r="D19" s="94">
        <f>D14*'Bases del Modelo'!$C$21</f>
        <v/>
      </c>
      <c r="E19" s="94">
        <f>E14*'Bases del Modelo'!$C$21</f>
        <v/>
      </c>
      <c r="F19" s="94">
        <f>F14*'Bases del Modelo'!$C$21</f>
        <v/>
      </c>
      <c r="G19" s="94">
        <f>G14*'Bases del Modelo'!$C$21</f>
        <v/>
      </c>
      <c r="H19" s="94">
        <f>H14*'Bases del Modelo'!$C$21</f>
        <v/>
      </c>
      <c r="I19" s="94">
        <f>I14*'Bases del Modelo'!$C$21</f>
        <v/>
      </c>
      <c r="J19" s="94">
        <f>J14*'Bases del Modelo'!$C$21</f>
        <v/>
      </c>
      <c r="K19" s="94">
        <f>K14*'Bases del Modelo'!$C$21</f>
        <v/>
      </c>
      <c r="L19" s="94">
        <f>L14*'Bases del Modelo'!$C$21</f>
        <v/>
      </c>
    </row>
    <row r="20" ht="18" customHeight="1" s="66">
      <c r="B20" s="90" t="inlineStr">
        <is>
          <t>Costo otros departamentos</t>
        </is>
      </c>
      <c r="C20" s="94">
        <f>C15*'Bases del Modelo'!$C$22</f>
        <v/>
      </c>
      <c r="D20" s="94">
        <f>D15*'Bases del Modelo'!$C$22</f>
        <v/>
      </c>
      <c r="E20" s="94">
        <f>E15*'Bases del Modelo'!$C$22</f>
        <v/>
      </c>
      <c r="F20" s="94">
        <f>F15*'Bases del Modelo'!$C$22</f>
        <v/>
      </c>
      <c r="G20" s="94">
        <f>G15*'Bases del Modelo'!$C$22</f>
        <v/>
      </c>
      <c r="H20" s="94">
        <f>H15*'Bases del Modelo'!$C$22</f>
        <v/>
      </c>
      <c r="I20" s="94">
        <f>I15*'Bases del Modelo'!$C$22</f>
        <v/>
      </c>
      <c r="J20" s="94">
        <f>J15*'Bases del Modelo'!$C$22</f>
        <v/>
      </c>
      <c r="K20" s="94">
        <f>K15*'Bases del Modelo'!$C$22</f>
        <v/>
      </c>
      <c r="L20" s="94">
        <f>L15*'Bases del Modelo'!$C$22</f>
        <v/>
      </c>
    </row>
    <row r="21" ht="18" customHeight="1" s="66">
      <c r="B21" s="95" t="inlineStr">
        <is>
          <t>TOTAL COSTOS DEPARTAMENTALES</t>
        </is>
      </c>
      <c r="C21" s="96">
        <f>SUM(C18:C20)</f>
        <v/>
      </c>
      <c r="D21" s="96">
        <f>SUM(D18:D20)</f>
        <v/>
      </c>
      <c r="E21" s="96">
        <f>SUM(E18:E20)</f>
        <v/>
      </c>
      <c r="F21" s="96">
        <f>SUM(F18:F20)</f>
        <v/>
      </c>
      <c r="G21" s="96">
        <f>SUM(G18:G20)</f>
        <v/>
      </c>
      <c r="H21" s="96">
        <f>SUM(H18:H20)</f>
        <v/>
      </c>
      <c r="I21" s="96">
        <f>SUM(I18:I20)</f>
        <v/>
      </c>
      <c r="J21" s="96">
        <f>SUM(J18:J20)</f>
        <v/>
      </c>
      <c r="K21" s="96">
        <f>SUM(K18:K20)</f>
        <v/>
      </c>
      <c r="L21" s="96">
        <f>SUM(L18:L20)</f>
        <v/>
      </c>
    </row>
    <row r="22" ht="18" customHeight="1" s="66">
      <c r="B22" s="73" t="inlineStr">
        <is>
          <t>Utilidad departamental</t>
        </is>
      </c>
      <c r="C22" s="97">
        <f>C16-C21</f>
        <v/>
      </c>
      <c r="D22" s="97">
        <f>D16-D21</f>
        <v/>
      </c>
      <c r="E22" s="97">
        <f>E16-E21</f>
        <v/>
      </c>
      <c r="F22" s="97">
        <f>F16-F21</f>
        <v/>
      </c>
      <c r="G22" s="97">
        <f>G16-G21</f>
        <v/>
      </c>
      <c r="H22" s="97">
        <f>H16-H21</f>
        <v/>
      </c>
      <c r="I22" s="97">
        <f>I16-I21</f>
        <v/>
      </c>
      <c r="J22" s="97">
        <f>J16-J21</f>
        <v/>
      </c>
      <c r="K22" s="97">
        <f>K16-K21</f>
        <v/>
      </c>
      <c r="L22" s="97">
        <f>L16-L21</f>
        <v/>
      </c>
    </row>
    <row r="23" ht="21.75" customHeight="1" s="66">
      <c r="B23" s="72" t="inlineStr">
        <is>
          <t>GASTOS OPERATIVOS</t>
        </is>
      </c>
    </row>
    <row r="24" ht="18" customHeight="1" s="66">
      <c r="B24" s="90" t="inlineStr">
        <is>
          <t>Administración y generales</t>
        </is>
      </c>
      <c r="C24" s="94">
        <f>C16*'Bases del Modelo'!$C$24</f>
        <v/>
      </c>
      <c r="D24" s="94">
        <f>D16*'Bases del Modelo'!$C$24</f>
        <v/>
      </c>
      <c r="E24" s="94">
        <f>E16*'Bases del Modelo'!$C$24</f>
        <v/>
      </c>
      <c r="F24" s="94">
        <f>F16*'Bases del Modelo'!$C$24</f>
        <v/>
      </c>
      <c r="G24" s="94">
        <f>G16*'Bases del Modelo'!$C$24</f>
        <v/>
      </c>
      <c r="H24" s="94">
        <f>H16*'Bases del Modelo'!$C$24</f>
        <v/>
      </c>
      <c r="I24" s="94">
        <f>I16*'Bases del Modelo'!$C$24</f>
        <v/>
      </c>
      <c r="J24" s="94">
        <f>J16*'Bases del Modelo'!$C$24</f>
        <v/>
      </c>
      <c r="K24" s="94">
        <f>K16*'Bases del Modelo'!$C$24</f>
        <v/>
      </c>
      <c r="L24" s="94">
        <f>L16*'Bases del Modelo'!$C$24</f>
        <v/>
      </c>
    </row>
    <row r="25" ht="18" customHeight="1" s="66">
      <c r="B25" s="90" t="inlineStr">
        <is>
          <t>Electricidad (CEPM)</t>
        </is>
      </c>
      <c r="C25" s="94">
        <f>'Bases del Modelo'!$C$25</f>
        <v/>
      </c>
      <c r="D25" s="94">
        <f>C25*(1+'Bases del Modelo'!$C$31)</f>
        <v/>
      </c>
      <c r="E25" s="94">
        <f>D25*(1+'Bases del Modelo'!$C$31)</f>
        <v/>
      </c>
      <c r="F25" s="94">
        <f>E25*(1+'Bases del Modelo'!$C$31)</f>
        <v/>
      </c>
      <c r="G25" s="94">
        <f>F25*(1+'Bases del Modelo'!$C$31)</f>
        <v/>
      </c>
      <c r="H25" s="94">
        <f>G25*(1+'Bases del Modelo'!$C$31)</f>
        <v/>
      </c>
      <c r="I25" s="94">
        <f>H25*(1+'Bases del Modelo'!$C$31)</f>
        <v/>
      </c>
      <c r="J25" s="94">
        <f>I25*(1+'Bases del Modelo'!$C$31)</f>
        <v/>
      </c>
      <c r="K25" s="94">
        <f>J25*(1+'Bases del Modelo'!$C$31)</f>
        <v/>
      </c>
      <c r="L25" s="94">
        <f>K25*(1+'Bases del Modelo'!$C$31)</f>
        <v/>
      </c>
    </row>
    <row r="26" ht="18" customHeight="1" s="66">
      <c r="B26" s="90" t="inlineStr">
        <is>
          <t>Otros servicios básicos</t>
        </is>
      </c>
      <c r="C26" s="94">
        <f>'Bases del Modelo'!$C$26</f>
        <v/>
      </c>
      <c r="D26" s="94">
        <f>C26*(1+'Bases del Modelo'!$C$31)</f>
        <v/>
      </c>
      <c r="E26" s="94">
        <f>D26*(1+'Bases del Modelo'!$C$31)</f>
        <v/>
      </c>
      <c r="F26" s="94">
        <f>E26*(1+'Bases del Modelo'!$C$31)</f>
        <v/>
      </c>
      <c r="G26" s="94">
        <f>F26*(1+'Bases del Modelo'!$C$31)</f>
        <v/>
      </c>
      <c r="H26" s="94">
        <f>G26*(1+'Bases del Modelo'!$C$31)</f>
        <v/>
      </c>
      <c r="I26" s="94">
        <f>H26*(1+'Bases del Modelo'!$C$31)</f>
        <v/>
      </c>
      <c r="J26" s="94">
        <f>I26*(1+'Bases del Modelo'!$C$31)</f>
        <v/>
      </c>
      <c r="K26" s="94">
        <f>J26*(1+'Bases del Modelo'!$C$31)</f>
        <v/>
      </c>
      <c r="L26" s="94">
        <f>K26*(1+'Bases del Modelo'!$C$31)</f>
        <v/>
      </c>
    </row>
    <row r="27" ht="18" customHeight="1" s="66">
      <c r="B27" s="90" t="inlineStr">
        <is>
          <t>Telecomunicaciones</t>
        </is>
      </c>
      <c r="C27" s="94">
        <f>'Bases del Modelo'!$C$27</f>
        <v/>
      </c>
      <c r="D27" s="94">
        <f>C27*(1+'Bases del Modelo'!$C$31)</f>
        <v/>
      </c>
      <c r="E27" s="94">
        <f>D27*(1+'Bases del Modelo'!$C$31)</f>
        <v/>
      </c>
      <c r="F27" s="94">
        <f>E27*(1+'Bases del Modelo'!$C$31)</f>
        <v/>
      </c>
      <c r="G27" s="94">
        <f>F27*(1+'Bases del Modelo'!$C$31)</f>
        <v/>
      </c>
      <c r="H27" s="94">
        <f>G27*(1+'Bases del Modelo'!$C$31)</f>
        <v/>
      </c>
      <c r="I27" s="94">
        <f>H27*(1+'Bases del Modelo'!$C$31)</f>
        <v/>
      </c>
      <c r="J27" s="94">
        <f>I27*(1+'Bases del Modelo'!$C$31)</f>
        <v/>
      </c>
      <c r="K27" s="94">
        <f>J27*(1+'Bases del Modelo'!$C$31)</f>
        <v/>
      </c>
      <c r="L27" s="94">
        <f>K27*(1+'Bases del Modelo'!$C$31)</f>
        <v/>
      </c>
    </row>
    <row r="28" ht="18" customHeight="1" s="66">
      <c r="B28" s="90" t="inlineStr">
        <is>
          <t>Mantenimiento</t>
        </is>
      </c>
      <c r="C28" s="94">
        <f>C16*'Bases del Modelo'!$C$28</f>
        <v/>
      </c>
      <c r="D28" s="94">
        <f>D16*'Bases del Modelo'!$C$28</f>
        <v/>
      </c>
      <c r="E28" s="94">
        <f>E16*'Bases del Modelo'!$C$28</f>
        <v/>
      </c>
      <c r="F28" s="94">
        <f>F16*'Bases del Modelo'!$C$28</f>
        <v/>
      </c>
      <c r="G28" s="94">
        <f>G16*'Bases del Modelo'!$C$28</f>
        <v/>
      </c>
      <c r="H28" s="94">
        <f>H16*'Bases del Modelo'!$C$28</f>
        <v/>
      </c>
      <c r="I28" s="94">
        <f>I16*'Bases del Modelo'!$C$28</f>
        <v/>
      </c>
      <c r="J28" s="94">
        <f>J16*'Bases del Modelo'!$C$28</f>
        <v/>
      </c>
      <c r="K28" s="94">
        <f>K16*'Bases del Modelo'!$C$28</f>
        <v/>
      </c>
      <c r="L28" s="94">
        <f>L16*'Bases del Modelo'!$C$28</f>
        <v/>
      </c>
    </row>
    <row r="29" ht="18" customHeight="1" s="66">
      <c r="B29" s="90" t="inlineStr">
        <is>
          <t>Marketing</t>
        </is>
      </c>
      <c r="C29" s="94">
        <f>'Bases del Modelo'!$C$29</f>
        <v/>
      </c>
      <c r="D29" s="94">
        <f>AVERAGE('Bases del Modelo'!$C$29,'Bases del Modelo'!$C$30)*1.25</f>
        <v/>
      </c>
      <c r="E29" s="94">
        <f>AVERAGE('Bases del Modelo'!$C$29,'Bases del Modelo'!$C$30)</f>
        <v/>
      </c>
      <c r="F29" s="94">
        <f>'Bases del Modelo'!$C$30</f>
        <v/>
      </c>
      <c r="G29" s="94">
        <f>'Bases del Modelo'!$C$30</f>
        <v/>
      </c>
      <c r="H29" s="94">
        <f>'Bases del Modelo'!$C$30</f>
        <v/>
      </c>
      <c r="I29" s="94">
        <f>'Bases del Modelo'!$C$30</f>
        <v/>
      </c>
      <c r="J29" s="94">
        <f>'Bases del Modelo'!$C$30</f>
        <v/>
      </c>
      <c r="K29" s="94">
        <f>'Bases del Modelo'!$C$30</f>
        <v/>
      </c>
      <c r="L29" s="94">
        <f>'Bases del Modelo'!$C$30</f>
        <v/>
      </c>
    </row>
    <row r="30" ht="18" customHeight="1" s="66">
      <c r="B30" s="95" t="inlineStr">
        <is>
          <t>TOTAL GASTOS OPERATIVOS</t>
        </is>
      </c>
      <c r="C30" s="96">
        <f>SUM(C24:C29)</f>
        <v/>
      </c>
      <c r="D30" s="96">
        <f>SUM(D24:D29)</f>
        <v/>
      </c>
      <c r="E30" s="96">
        <f>SUM(E24:E29)</f>
        <v/>
      </c>
      <c r="F30" s="96">
        <f>SUM(F24:F29)</f>
        <v/>
      </c>
      <c r="G30" s="96">
        <f>SUM(G24:G29)</f>
        <v/>
      </c>
      <c r="H30" s="96">
        <f>SUM(H24:H29)</f>
        <v/>
      </c>
      <c r="I30" s="96">
        <f>SUM(I24:I29)</f>
        <v/>
      </c>
      <c r="J30" s="96">
        <f>SUM(J24:J29)</f>
        <v/>
      </c>
      <c r="K30" s="96">
        <f>SUM(K24:K29)</f>
        <v/>
      </c>
      <c r="L30" s="96">
        <f>SUM(L24:L29)</f>
        <v/>
      </c>
    </row>
    <row r="31" ht="18" customHeight="1" s="66">
      <c r="B31" s="73" t="inlineStr">
        <is>
          <t>UTILIDAD OPERATIVA BRUTA (GOP)</t>
        </is>
      </c>
      <c r="C31" s="97">
        <f>C22-C30</f>
        <v/>
      </c>
      <c r="D31" s="97">
        <f>D22-D30</f>
        <v/>
      </c>
      <c r="E31" s="97">
        <f>E22-E30</f>
        <v/>
      </c>
      <c r="F31" s="97">
        <f>F22-F30</f>
        <v/>
      </c>
      <c r="G31" s="97">
        <f>G22-G30</f>
        <v/>
      </c>
      <c r="H31" s="97">
        <f>H22-H30</f>
        <v/>
      </c>
      <c r="I31" s="97">
        <f>I22-I30</f>
        <v/>
      </c>
      <c r="J31" s="97">
        <f>J22-J30</f>
        <v/>
      </c>
      <c r="K31" s="97">
        <f>K22-K30</f>
        <v/>
      </c>
      <c r="L31" s="97">
        <f>L22-L30</f>
        <v/>
      </c>
    </row>
    <row r="32" ht="18" customHeight="1" s="66">
      <c r="B32" s="98" t="inlineStr">
        <is>
          <t>Margen GOP</t>
        </is>
      </c>
      <c r="C32" s="99">
        <f>C31/C16</f>
        <v/>
      </c>
      <c r="D32" s="99">
        <f>D31/D16</f>
        <v/>
      </c>
      <c r="E32" s="99">
        <f>E31/E16</f>
        <v/>
      </c>
      <c r="F32" s="99">
        <f>F31/F16</f>
        <v/>
      </c>
      <c r="G32" s="99">
        <f>G31/G16</f>
        <v/>
      </c>
      <c r="H32" s="99">
        <f>H31/H16</f>
        <v/>
      </c>
      <c r="I32" s="99">
        <f>I31/I16</f>
        <v/>
      </c>
      <c r="J32" s="99">
        <f>J31/J16</f>
        <v/>
      </c>
      <c r="K32" s="99">
        <f>K31/K16</f>
        <v/>
      </c>
      <c r="L32" s="99">
        <f>L31/L16</f>
        <v/>
      </c>
    </row>
    <row r="33" ht="21.75" customHeight="1" s="66">
      <c r="B33" s="72" t="inlineStr">
        <is>
          <t>COMISIONES DE FRANQUICIA Y OPERACIÓN</t>
        </is>
      </c>
    </row>
    <row r="34" ht="18" customHeight="1" s="66">
      <c r="B34" s="90" t="inlineStr">
        <is>
          <t>Royalty Sonesta</t>
        </is>
      </c>
      <c r="C34" s="94">
        <f>C13*'Bases del Modelo'!$C$33</f>
        <v/>
      </c>
      <c r="D34" s="94">
        <f>D13*'Bases del Modelo'!$C$33</f>
        <v/>
      </c>
      <c r="E34" s="94">
        <f>E13*'Bases del Modelo'!$C$33</f>
        <v/>
      </c>
      <c r="F34" s="94">
        <f>F13*'Bases del Modelo'!$C$33</f>
        <v/>
      </c>
      <c r="G34" s="94">
        <f>G13*'Bases del Modelo'!$C$33</f>
        <v/>
      </c>
      <c r="H34" s="94">
        <f>H13*'Bases del Modelo'!$C$33</f>
        <v/>
      </c>
      <c r="I34" s="94">
        <f>I13*'Bases del Modelo'!$C$33</f>
        <v/>
      </c>
      <c r="J34" s="94">
        <f>J13*'Bases del Modelo'!$C$33</f>
        <v/>
      </c>
      <c r="K34" s="94">
        <f>K13*'Bases del Modelo'!$C$33</f>
        <v/>
      </c>
      <c r="L34" s="94">
        <f>L13*'Bases del Modelo'!$C$33</f>
        <v/>
      </c>
    </row>
    <row r="35" ht="18" customHeight="1" s="66">
      <c r="B35" s="90" t="inlineStr">
        <is>
          <t>Fondo marketing Sonesta</t>
        </is>
      </c>
      <c r="C35" s="94">
        <f>C13*'Bases del Modelo'!$C$34</f>
        <v/>
      </c>
      <c r="D35" s="94">
        <f>D13*'Bases del Modelo'!$C$34</f>
        <v/>
      </c>
      <c r="E35" s="94">
        <f>E13*'Bases del Modelo'!$C$34</f>
        <v/>
      </c>
      <c r="F35" s="94">
        <f>F13*'Bases del Modelo'!$C$34</f>
        <v/>
      </c>
      <c r="G35" s="94">
        <f>G13*'Bases del Modelo'!$C$34</f>
        <v/>
      </c>
      <c r="H35" s="94">
        <f>H13*'Bases del Modelo'!$C$34</f>
        <v/>
      </c>
      <c r="I35" s="94">
        <f>I13*'Bases del Modelo'!$C$34</f>
        <v/>
      </c>
      <c r="J35" s="94">
        <f>J13*'Bases del Modelo'!$C$34</f>
        <v/>
      </c>
      <c r="K35" s="94">
        <f>K13*'Bases del Modelo'!$C$34</f>
        <v/>
      </c>
      <c r="L35" s="94">
        <f>L13*'Bases del Modelo'!$C$34</f>
        <v/>
      </c>
    </row>
    <row r="36" ht="18" customHeight="1" s="66">
      <c r="B36" s="90" t="inlineStr">
        <is>
          <t>Reservas Sonesta</t>
        </is>
      </c>
      <c r="C36" s="94">
        <f>C13*'Bases del Modelo'!$C$35</f>
        <v/>
      </c>
      <c r="D36" s="94">
        <f>D13*'Bases del Modelo'!$C$35</f>
        <v/>
      </c>
      <c r="E36" s="94">
        <f>E13*'Bases del Modelo'!$C$35</f>
        <v/>
      </c>
      <c r="F36" s="94">
        <f>F13*'Bases del Modelo'!$C$35</f>
        <v/>
      </c>
      <c r="G36" s="94">
        <f>G13*'Bases del Modelo'!$C$35</f>
        <v/>
      </c>
      <c r="H36" s="94">
        <f>H13*'Bases del Modelo'!$C$35</f>
        <v/>
      </c>
      <c r="I36" s="94">
        <f>I13*'Bases del Modelo'!$C$35</f>
        <v/>
      </c>
      <c r="J36" s="94">
        <f>J13*'Bases del Modelo'!$C$35</f>
        <v/>
      </c>
      <c r="K36" s="94">
        <f>K13*'Bases del Modelo'!$C$35</f>
        <v/>
      </c>
      <c r="L36" s="94">
        <f>L13*'Bases del Modelo'!$C$35</f>
        <v/>
      </c>
    </row>
    <row r="37" ht="18" customHeight="1" s="66">
      <c r="B37" s="90" t="inlineStr">
        <is>
          <t>Honorario base operador (HCI)</t>
        </is>
      </c>
      <c r="C37" s="94">
        <f>C16*'Bases del Modelo'!$C$36</f>
        <v/>
      </c>
      <c r="D37" s="94">
        <f>D16*'Bases del Modelo'!$C$36</f>
        <v/>
      </c>
      <c r="E37" s="94">
        <f>E16*'Bases del Modelo'!$C$36</f>
        <v/>
      </c>
      <c r="F37" s="94">
        <f>F16*'Bases del Modelo'!$C$36</f>
        <v/>
      </c>
      <c r="G37" s="94">
        <f>G16*'Bases del Modelo'!$C$36</f>
        <v/>
      </c>
      <c r="H37" s="94">
        <f>H16*'Bases del Modelo'!$C$36</f>
        <v/>
      </c>
      <c r="I37" s="94">
        <f>I16*'Bases del Modelo'!$C$36</f>
        <v/>
      </c>
      <c r="J37" s="94">
        <f>J16*'Bases del Modelo'!$C$36</f>
        <v/>
      </c>
      <c r="K37" s="94">
        <f>K16*'Bases del Modelo'!$C$36</f>
        <v/>
      </c>
      <c r="L37" s="94">
        <f>L16*'Bases del Modelo'!$C$36</f>
        <v/>
      </c>
    </row>
    <row r="38" ht="18" customHeight="1" s="66">
      <c r="B38" s="90" t="inlineStr">
        <is>
          <t>Honorario incentivo (HCI)</t>
        </is>
      </c>
      <c r="C38" s="94">
        <f>C31*'Bases del Modelo'!$C$37</f>
        <v/>
      </c>
      <c r="D38" s="94">
        <f>D31*'Bases del Modelo'!$C$37</f>
        <v/>
      </c>
      <c r="E38" s="94">
        <f>E31*'Bases del Modelo'!$C$37</f>
        <v/>
      </c>
      <c r="F38" s="94">
        <f>F31*'Bases del Modelo'!$C$37</f>
        <v/>
      </c>
      <c r="G38" s="94">
        <f>G31*'Bases del Modelo'!$C$37</f>
        <v/>
      </c>
      <c r="H38" s="94">
        <f>H31*'Bases del Modelo'!$C$37</f>
        <v/>
      </c>
      <c r="I38" s="94">
        <f>I31*'Bases del Modelo'!$C$37</f>
        <v/>
      </c>
      <c r="J38" s="94">
        <f>J31*'Bases del Modelo'!$C$37</f>
        <v/>
      </c>
      <c r="K38" s="94">
        <f>K31*'Bases del Modelo'!$C$37</f>
        <v/>
      </c>
      <c r="L38" s="94">
        <f>L31*'Bases del Modelo'!$C$37</f>
        <v/>
      </c>
    </row>
    <row r="39" ht="18" customHeight="1" s="66">
      <c r="B39" s="95" t="inlineStr">
        <is>
          <t>TOTAL COMISIONES</t>
        </is>
      </c>
      <c r="C39" s="96">
        <f>SUM(C34:C38)</f>
        <v/>
      </c>
      <c r="D39" s="96">
        <f>SUM(D34:D38)</f>
        <v/>
      </c>
      <c r="E39" s="96">
        <f>SUM(E34:E38)</f>
        <v/>
      </c>
      <c r="F39" s="96">
        <f>SUM(F34:F38)</f>
        <v/>
      </c>
      <c r="G39" s="96">
        <f>SUM(G34:G38)</f>
        <v/>
      </c>
      <c r="H39" s="96">
        <f>SUM(H34:H38)</f>
        <v/>
      </c>
      <c r="I39" s="96">
        <f>SUM(I34:I38)</f>
        <v/>
      </c>
      <c r="J39" s="96">
        <f>SUM(J34:J38)</f>
        <v/>
      </c>
      <c r="K39" s="96">
        <f>SUM(K34:K38)</f>
        <v/>
      </c>
      <c r="L39" s="96">
        <f>SUM(L34:L38)</f>
        <v/>
      </c>
    </row>
    <row r="40" ht="21.75" customHeight="1" s="66">
      <c r="B40" s="72" t="inlineStr">
        <is>
          <t>CARGOS FIJOS</t>
        </is>
      </c>
    </row>
    <row r="41" ht="18" customHeight="1" s="66">
      <c r="B41" s="90" t="inlineStr">
        <is>
          <t>Seguros</t>
        </is>
      </c>
      <c r="C41" s="94">
        <f>'Bases del Modelo'!$C$39</f>
        <v/>
      </c>
      <c r="D41" s="94">
        <f>C41*(1+'Bases del Modelo'!$C$31)</f>
        <v/>
      </c>
      <c r="E41" s="94">
        <f>D41*(1+'Bases del Modelo'!$C$31)</f>
        <v/>
      </c>
      <c r="F41" s="94">
        <f>E41*(1+'Bases del Modelo'!$C$31)</f>
        <v/>
      </c>
      <c r="G41" s="94">
        <f>F41*(1+'Bases del Modelo'!$C$31)</f>
        <v/>
      </c>
      <c r="H41" s="94">
        <f>G41*(1+'Bases del Modelo'!$C$31)</f>
        <v/>
      </c>
      <c r="I41" s="94">
        <f>H41*(1+'Bases del Modelo'!$C$31)</f>
        <v/>
      </c>
      <c r="J41" s="94">
        <f>I41*(1+'Bases del Modelo'!$C$31)</f>
        <v/>
      </c>
      <c r="K41" s="94">
        <f>J41*(1+'Bases del Modelo'!$C$31)</f>
        <v/>
      </c>
      <c r="L41" s="94">
        <f>K41*(1+'Bases del Modelo'!$C$31)</f>
        <v/>
      </c>
    </row>
    <row r="42" ht="18" customHeight="1" s="66">
      <c r="B42" s="90" t="inlineStr">
        <is>
          <t>Impuesto propiedad (exento CONFOTUR)</t>
        </is>
      </c>
      <c r="C42" s="94">
        <f>'Bases del Modelo'!$C$40</f>
        <v/>
      </c>
      <c r="D42" s="94">
        <f>'Bases del Modelo'!$C$40</f>
        <v/>
      </c>
      <c r="E42" s="94">
        <f>'Bases del Modelo'!$C$40</f>
        <v/>
      </c>
      <c r="F42" s="94">
        <f>'Bases del Modelo'!$C$40</f>
        <v/>
      </c>
      <c r="G42" s="94">
        <f>'Bases del Modelo'!$C$40</f>
        <v/>
      </c>
      <c r="H42" s="94">
        <f>'Bases del Modelo'!$C$40</f>
        <v/>
      </c>
      <c r="I42" s="94">
        <f>'Bases del Modelo'!$C$40</f>
        <v/>
      </c>
      <c r="J42" s="94">
        <f>'Bases del Modelo'!$C$40</f>
        <v/>
      </c>
      <c r="K42" s="94">
        <f>'Bases del Modelo'!$C$40</f>
        <v/>
      </c>
      <c r="L42" s="94">
        <f>'Bases del Modelo'!$C$40</f>
        <v/>
      </c>
    </row>
    <row r="43" ht="18" customHeight="1" s="66">
      <c r="B43" s="90" t="inlineStr">
        <is>
          <t>Reserva FF&amp;E</t>
        </is>
      </c>
      <c r="C43" s="94">
        <f>C16*'Bases del Modelo'!$C$41</f>
        <v/>
      </c>
      <c r="D43" s="94">
        <f>D16*'Bases del Modelo'!$C$41</f>
        <v/>
      </c>
      <c r="E43" s="94">
        <f>E16*'Bases del Modelo'!$C$41</f>
        <v/>
      </c>
      <c r="F43" s="94">
        <f>F16*'Bases del Modelo'!$C$41</f>
        <v/>
      </c>
      <c r="G43" s="94">
        <f>G16*'Bases del Modelo'!$C$41</f>
        <v/>
      </c>
      <c r="H43" s="94">
        <f>H16*'Bases del Modelo'!$C$41</f>
        <v/>
      </c>
      <c r="I43" s="94">
        <f>I16*'Bases del Modelo'!$C$41</f>
        <v/>
      </c>
      <c r="J43" s="94">
        <f>J16*'Bases del Modelo'!$C$41</f>
        <v/>
      </c>
      <c r="K43" s="94">
        <f>K16*'Bases del Modelo'!$C$41</f>
        <v/>
      </c>
      <c r="L43" s="94">
        <f>L16*'Bases del Modelo'!$C$41</f>
        <v/>
      </c>
    </row>
    <row r="44" ht="18" customHeight="1" s="66">
      <c r="B44" s="95" t="inlineStr">
        <is>
          <t>TOTAL CARGOS FIJOS</t>
        </is>
      </c>
      <c r="C44" s="96">
        <f>SUM(C41:C43)</f>
        <v/>
      </c>
      <c r="D44" s="96">
        <f>SUM(D41:D43)</f>
        <v/>
      </c>
      <c r="E44" s="96">
        <f>SUM(E41:E43)</f>
        <v/>
      </c>
      <c r="F44" s="96">
        <f>SUM(F41:F43)</f>
        <v/>
      </c>
      <c r="G44" s="96">
        <f>SUM(G41:G43)</f>
        <v/>
      </c>
      <c r="H44" s="96">
        <f>SUM(H41:H43)</f>
        <v/>
      </c>
      <c r="I44" s="96">
        <f>SUM(I41:I43)</f>
        <v/>
      </c>
      <c r="J44" s="96">
        <f>SUM(J41:J43)</f>
        <v/>
      </c>
      <c r="K44" s="96">
        <f>SUM(K41:K43)</f>
        <v/>
      </c>
      <c r="L44" s="96">
        <f>SUM(L41:L43)</f>
        <v/>
      </c>
    </row>
    <row r="45" ht="6" customHeight="1" s="66"/>
    <row r="46" ht="18" customHeight="1" s="66">
      <c r="B46" s="100" t="inlineStr">
        <is>
          <t>EBITDA</t>
        </is>
      </c>
      <c r="C46" s="101">
        <f>C31-C39-C44</f>
        <v/>
      </c>
      <c r="D46" s="101">
        <f>D31-D39-D44</f>
        <v/>
      </c>
      <c r="E46" s="101">
        <f>E31-E39-E44</f>
        <v/>
      </c>
      <c r="F46" s="101">
        <f>F31-F39-F44</f>
        <v/>
      </c>
      <c r="G46" s="101">
        <f>G31-G39-G44</f>
        <v/>
      </c>
      <c r="H46" s="101">
        <f>H31-H39-H44</f>
        <v/>
      </c>
      <c r="I46" s="101">
        <f>I31-I39-I44</f>
        <v/>
      </c>
      <c r="J46" s="101">
        <f>J31-J39-J44</f>
        <v/>
      </c>
      <c r="K46" s="101">
        <f>K31-K39-K44</f>
        <v/>
      </c>
      <c r="L46" s="101">
        <f>L31-L39-L44</f>
        <v/>
      </c>
    </row>
    <row r="47" ht="18" customHeight="1" s="66">
      <c r="B47" s="98" t="inlineStr">
        <is>
          <t>Margen EBITDA</t>
        </is>
      </c>
      <c r="C47" s="99">
        <f>C46/C16</f>
        <v/>
      </c>
      <c r="D47" s="99">
        <f>D46/D16</f>
        <v/>
      </c>
      <c r="E47" s="99">
        <f>E46/E16</f>
        <v/>
      </c>
      <c r="F47" s="99">
        <f>F46/F16</f>
        <v/>
      </c>
      <c r="G47" s="99">
        <f>G46/G16</f>
        <v/>
      </c>
      <c r="H47" s="99">
        <f>H46/H16</f>
        <v/>
      </c>
      <c r="I47" s="99">
        <f>I46/I16</f>
        <v/>
      </c>
      <c r="J47" s="99">
        <f>J46/J16</f>
        <v/>
      </c>
      <c r="K47" s="99">
        <f>K46/K16</f>
        <v/>
      </c>
      <c r="L47" s="99">
        <f>L46/L16</f>
        <v/>
      </c>
    </row>
    <row r="48" ht="18" customHeight="1" s="66">
      <c r="B48" s="98" t="inlineStr">
        <is>
          <t>EBITDA por habitación</t>
        </is>
      </c>
      <c r="C48" s="102">
        <f>C46/'Bases del Modelo'!$C$8</f>
        <v/>
      </c>
      <c r="D48" s="102">
        <f>D46/'Bases del Modelo'!$C$8</f>
        <v/>
      </c>
      <c r="E48" s="102">
        <f>E46/'Bases del Modelo'!$C$8</f>
        <v/>
      </c>
      <c r="F48" s="102">
        <f>F46/'Bases del Modelo'!$C$8</f>
        <v/>
      </c>
      <c r="G48" s="102">
        <f>G46/'Bases del Modelo'!$C$8</f>
        <v/>
      </c>
      <c r="H48" s="102">
        <f>H46/'Bases del Modelo'!$C$8</f>
        <v/>
      </c>
      <c r="I48" s="102">
        <f>I46/'Bases del Modelo'!$C$8</f>
        <v/>
      </c>
      <c r="J48" s="102">
        <f>J46/'Bases del Modelo'!$C$8</f>
        <v/>
      </c>
      <c r="K48" s="102">
        <f>K46/'Bases del Modelo'!$C$8</f>
        <v/>
      </c>
      <c r="L48" s="102">
        <f>L46/'Bases del Modelo'!$C$8</f>
        <v/>
      </c>
    </row>
    <row r="49" ht="7.5" customHeight="1" s="66"/>
    <row r="50" ht="49.5" customHeight="1" s="66">
      <c r="B50" s="76" t="inlineStr">
        <is>
          <t>EBITDA = Utilidad antes de intereses, impuestos, depreciación y amortización. GOP = Utilidad operativa bruta. La proyección se presenta a nivel de activo hotelero, antes de servicio de deuda y distribuciones a inversionistas. La distribución al inversionista se detalla en la pestaña correspondiente.</t>
        </is>
      </c>
    </row>
  </sheetData>
  <mergeCells count="9">
    <mergeCell ref="B33:M33"/>
    <mergeCell ref="B7:M7"/>
    <mergeCell ref="B3:M3"/>
    <mergeCell ref="B23:M23"/>
    <mergeCell ref="B50:M50"/>
    <mergeCell ref="B17:M17"/>
    <mergeCell ref="B40:M40"/>
    <mergeCell ref="B4:M4"/>
    <mergeCell ref="B12:M1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B3:M29"/>
  <sheetViews>
    <sheetView showFormulas="0" showGridLines="0" showRowColHeaders="1" showZeros="1" rightToLeft="0" tabSelected="0" showOutlineSymbols="1" defaultGridColor="1"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1" activeCellId="0" sqref="A1"/>
    </sheetView>
  </sheetViews>
  <sheetFormatPr baseColWidth="8" defaultColWidth="8.6796875" defaultRowHeight="15" zeroHeight="0" outlineLevelRow="0"/>
  <cols>
    <col width="2" customWidth="1" style="65" min="1" max="1"/>
    <col width="46" customWidth="1" style="65" min="2" max="2"/>
    <col width="14" customWidth="1" style="65" min="3" max="13"/>
  </cols>
  <sheetData>
    <row r="2" ht="7.5" customHeight="1" s="66"/>
    <row r="3" ht="31.5" customHeight="1" s="66">
      <c r="B3" s="77" t="inlineStr">
        <is>
          <t>DISTRIBUCIÓN AL INVERSIONISTA</t>
        </is>
      </c>
    </row>
    <row r="4" ht="21.75" customHeight="1" s="66">
      <c r="B4" s="78" t="inlineStr">
        <is>
          <t>Flujo de retornos fijos al inversionista por ticket de USD $10,000.</t>
        </is>
      </c>
    </row>
    <row r="5" ht="6" customHeight="1" s="66"/>
    <row r="6" ht="27.75" customHeight="1" s="66">
      <c r="B6" s="89" t="inlineStr">
        <is>
          <t>USD</t>
        </is>
      </c>
      <c r="C6" s="89" t="inlineStr">
        <is>
          <t>Año 1</t>
        </is>
      </c>
      <c r="D6" s="89" t="inlineStr">
        <is>
          <t>Año 2</t>
        </is>
      </c>
      <c r="E6" s="89" t="inlineStr">
        <is>
          <t>Año 3</t>
        </is>
      </c>
      <c r="F6" s="89" t="inlineStr">
        <is>
          <t>Año 4</t>
        </is>
      </c>
      <c r="G6" s="89" t="inlineStr">
        <is>
          <t>Año 5</t>
        </is>
      </c>
      <c r="H6" s="89" t="inlineStr">
        <is>
          <t>Año 6</t>
        </is>
      </c>
      <c r="I6" s="89" t="inlineStr">
        <is>
          <t>Año 7</t>
        </is>
      </c>
      <c r="J6" s="89" t="inlineStr">
        <is>
          <t>Año 8</t>
        </is>
      </c>
      <c r="K6" s="89" t="inlineStr">
        <is>
          <t>Año 9</t>
        </is>
      </c>
      <c r="L6" s="89" t="inlineStr">
        <is>
          <t>Año 10</t>
        </is>
      </c>
    </row>
    <row r="7" ht="21.75" customHeight="1" s="66">
      <c r="B7" s="72" t="inlineStr">
        <is>
          <t>DESEMPEÑO DEL HOTEL</t>
        </is>
      </c>
    </row>
    <row r="8" ht="18" customHeight="1" s="66">
      <c r="B8" s="103" t="inlineStr">
        <is>
          <t>EBITDA del hotel</t>
        </is>
      </c>
      <c r="C8" s="97">
        <f>'Estado de Resultados'!C46</f>
        <v/>
      </c>
      <c r="D8" s="97">
        <f>'Estado de Resultados'!D46</f>
        <v/>
      </c>
      <c r="E8" s="97">
        <f>'Estado de Resultados'!E46</f>
        <v/>
      </c>
      <c r="F8" s="97">
        <f>'Estado de Resultados'!F46</f>
        <v/>
      </c>
      <c r="G8" s="97">
        <f>'Estado de Resultados'!G46</f>
        <v/>
      </c>
      <c r="H8" s="97">
        <f>'Estado de Resultados'!H46</f>
        <v/>
      </c>
      <c r="I8" s="97">
        <f>'Estado de Resultados'!I46</f>
        <v/>
      </c>
      <c r="J8" s="97">
        <f>'Estado de Resultados'!J46</f>
        <v/>
      </c>
      <c r="K8" s="97">
        <f>'Estado de Resultados'!K46</f>
        <v/>
      </c>
      <c r="L8" s="97">
        <f>'Estado de Resultados'!L46</f>
        <v/>
      </c>
    </row>
    <row r="9" ht="21.75" customHeight="1" s="66">
      <c r="B9" s="72" t="inlineStr">
        <is>
          <t>DISTRIBUCIONES FIJAS AL INVERSIONISTA</t>
        </is>
      </c>
    </row>
    <row r="10" ht="18" customHeight="1" s="66">
      <c r="B10" s="90" t="inlineStr">
        <is>
          <t>Capital total invertido (Edificio 1)</t>
        </is>
      </c>
      <c r="C10" s="94">
        <f>'Bases del Modelo'!$C$45</f>
        <v/>
      </c>
      <c r="D10" s="94">
        <f>'Bases del Modelo'!$C$45</f>
        <v/>
      </c>
      <c r="E10" s="94">
        <f>'Bases del Modelo'!$C$45</f>
        <v/>
      </c>
      <c r="F10" s="94">
        <f>'Bases del Modelo'!$C$45</f>
        <v/>
      </c>
      <c r="G10" s="94">
        <f>'Bases del Modelo'!$C$45</f>
        <v/>
      </c>
      <c r="H10" s="94">
        <f>'Bases del Modelo'!$C$45</f>
        <v/>
      </c>
      <c r="I10" s="94">
        <f>'Bases del Modelo'!$C$45</f>
        <v/>
      </c>
      <c r="J10" s="94">
        <f>'Bases del Modelo'!$C$45</f>
        <v/>
      </c>
      <c r="K10" s="94">
        <f>'Bases del Modelo'!$C$45</f>
        <v/>
      </c>
      <c r="L10" s="94">
        <f>'Bases del Modelo'!$C$45</f>
        <v/>
      </c>
    </row>
    <row r="11" ht="18" customHeight="1" s="66">
      <c r="B11" s="90" t="inlineStr">
        <is>
          <t>Tasa de retorno contractual</t>
        </is>
      </c>
      <c r="C11" s="92">
        <f>'Bases del Modelo'!$C$47</f>
        <v/>
      </c>
      <c r="D11" s="92">
        <f>'Bases del Modelo'!$C$47</f>
        <v/>
      </c>
      <c r="E11" s="92">
        <f>'Bases del Modelo'!$C$48</f>
        <v/>
      </c>
      <c r="F11" s="92">
        <f>'Bases del Modelo'!$C$48</f>
        <v/>
      </c>
      <c r="G11" s="92">
        <f>'Bases del Modelo'!$C$48</f>
        <v/>
      </c>
      <c r="H11" s="92">
        <f>'Bases del Modelo'!$C$48</f>
        <v/>
      </c>
      <c r="I11" s="92">
        <f>'Bases del Modelo'!$C$48</f>
        <v/>
      </c>
      <c r="J11" s="92">
        <f>'Bases del Modelo'!$C$48</f>
        <v/>
      </c>
      <c r="K11" s="92">
        <f>'Bases del Modelo'!$C$48</f>
        <v/>
      </c>
      <c r="L11" s="92">
        <f>'Bases del Modelo'!$C$48</f>
        <v/>
      </c>
    </row>
    <row r="12" ht="18" customHeight="1" s="66">
      <c r="B12" s="103" t="inlineStr">
        <is>
          <t>Distribución total al pool</t>
        </is>
      </c>
      <c r="C12" s="97">
        <f>C10*C11</f>
        <v/>
      </c>
      <c r="D12" s="97">
        <f>D10*D11</f>
        <v/>
      </c>
      <c r="E12" s="97">
        <f>E10*E11</f>
        <v/>
      </c>
      <c r="F12" s="97">
        <f>F10*F11</f>
        <v/>
      </c>
      <c r="G12" s="97">
        <f>G10*G11</f>
        <v/>
      </c>
      <c r="H12" s="97">
        <f>H10*H11</f>
        <v/>
      </c>
      <c r="I12" s="97">
        <f>I10*I11</f>
        <v/>
      </c>
      <c r="J12" s="97">
        <f>J10*J11</f>
        <v/>
      </c>
      <c r="K12" s="97">
        <f>K10*K11</f>
        <v/>
      </c>
      <c r="L12" s="97">
        <f>L10*L11</f>
        <v/>
      </c>
    </row>
    <row r="13" ht="18" customHeight="1" s="66">
      <c r="B13" s="98" t="inlineStr">
        <is>
          <t>Distribución por ticket</t>
        </is>
      </c>
      <c r="C13" s="102">
        <f>C12/'Bases del Modelo'!$C$43</f>
        <v/>
      </c>
      <c r="D13" s="102">
        <f>D12/'Bases del Modelo'!$C$43</f>
        <v/>
      </c>
      <c r="E13" s="102">
        <f>E12/'Bases del Modelo'!$C$43</f>
        <v/>
      </c>
      <c r="F13" s="102">
        <f>F12/'Bases del Modelo'!$C$43</f>
        <v/>
      </c>
      <c r="G13" s="102">
        <f>G12/'Bases del Modelo'!$C$43</f>
        <v/>
      </c>
      <c r="H13" s="102">
        <f>H12/'Bases del Modelo'!$C$43</f>
        <v/>
      </c>
      <c r="I13" s="102">
        <f>I12/'Bases del Modelo'!$C$43</f>
        <v/>
      </c>
      <c r="J13" s="102">
        <f>J12/'Bases del Modelo'!$C$43</f>
        <v/>
      </c>
      <c r="K13" s="102">
        <f>K12/'Bases del Modelo'!$C$43</f>
        <v/>
      </c>
      <c r="L13" s="102">
        <f>L12/'Bases del Modelo'!$C$43</f>
        <v/>
      </c>
    </row>
    <row r="14" ht="21.75" customHeight="1" s="66">
      <c r="B14" s="72" t="inlineStr">
        <is>
          <t>RESPALDO DEL HOTEL</t>
        </is>
      </c>
    </row>
    <row r="15" ht="18" customHeight="1" s="66">
      <c r="B15" s="103" t="inlineStr">
        <is>
          <t>Cobertura del hotel sobre distribución</t>
        </is>
      </c>
      <c r="C15" s="104">
        <f>IFERROR(C8/C12,0)</f>
        <v/>
      </c>
      <c r="D15" s="104">
        <f>IFERROR(D8/D12,0)</f>
        <v/>
      </c>
      <c r="E15" s="104">
        <f>IFERROR(E8/E12,0)</f>
        <v/>
      </c>
      <c r="F15" s="104">
        <f>IFERROR(F8/F12,0)</f>
        <v/>
      </c>
      <c r="G15" s="104">
        <f>IFERROR(G8/G12,0)</f>
        <v/>
      </c>
      <c r="H15" s="104">
        <f>IFERROR(H8/H12,0)</f>
        <v/>
      </c>
      <c r="I15" s="104">
        <f>IFERROR(I8/I12,0)</f>
        <v/>
      </c>
      <c r="J15" s="104">
        <f>IFERROR(J8/J12,0)</f>
        <v/>
      </c>
      <c r="K15" s="104">
        <f>IFERROR(K8/K12,0)</f>
        <v/>
      </c>
      <c r="L15" s="104">
        <f>IFERROR(L8/L12,0)</f>
        <v/>
      </c>
    </row>
    <row r="16" ht="18" customHeight="1" s="66">
      <c r="B16" s="95" t="inlineStr">
        <is>
          <t>Excedente operativo del hotel</t>
        </is>
      </c>
      <c r="C16" s="96">
        <f>C8-C12</f>
        <v/>
      </c>
      <c r="D16" s="96">
        <f>D8-D12</f>
        <v/>
      </c>
      <c r="E16" s="96">
        <f>E8-E12</f>
        <v/>
      </c>
      <c r="F16" s="96">
        <f>F8-F12</f>
        <v/>
      </c>
      <c r="G16" s="96">
        <f>G8-G12</f>
        <v/>
      </c>
      <c r="H16" s="96">
        <f>H8-H12</f>
        <v/>
      </c>
      <c r="I16" s="96">
        <f>I8-I12</f>
        <v/>
      </c>
      <c r="J16" s="96">
        <f>J8-J12</f>
        <v/>
      </c>
      <c r="K16" s="96">
        <f>K8-K12</f>
        <v/>
      </c>
      <c r="L16" s="96">
        <f>L8-L12</f>
        <v/>
      </c>
    </row>
    <row r="17" ht="6" customHeight="1" s="66"/>
    <row r="18" ht="21.75" customHeight="1" s="66">
      <c r="B18" s="72" t="inlineStr">
        <is>
          <t>FLUJO POR TICKET DE USD $10,000</t>
        </is>
      </c>
    </row>
    <row r="19" ht="18" customHeight="1" s="66">
      <c r="B19" s="105" t="inlineStr">
        <is>
          <t>Año 0: Inversión + retorno construcción</t>
        </is>
      </c>
      <c r="C19" s="94">
        <f>-'Bases del Modelo'!$C$44+'Bases del Modelo'!$C$44*'Bases del Modelo'!$C$46</f>
        <v/>
      </c>
    </row>
    <row r="20" ht="18" customHeight="1" s="66">
      <c r="B20" s="105" t="inlineStr">
        <is>
          <t>Año 1: Distribución operativa (10%)</t>
        </is>
      </c>
      <c r="D20" s="94">
        <f>'Bases del Modelo'!$C$44*'Bases del Modelo'!$C$47</f>
        <v/>
      </c>
    </row>
    <row r="21" ht="18" customHeight="1" s="66">
      <c r="B21" s="105" t="inlineStr">
        <is>
          <t>Año 2: Distribución operativa (10%)</t>
        </is>
      </c>
      <c r="E21" s="94">
        <f>'Bases del Modelo'!$C$44*'Bases del Modelo'!$C$47</f>
        <v/>
      </c>
    </row>
    <row r="22" ht="18" customHeight="1" s="66">
      <c r="B22" s="105" t="inlineStr">
        <is>
          <t>Año 3: Distribución operativa (12%)</t>
        </is>
      </c>
      <c r="F22" s="94">
        <f>'Bases del Modelo'!$C$44*'Bases del Modelo'!$C$48</f>
        <v/>
      </c>
    </row>
    <row r="23" ht="18" customHeight="1" s="66">
      <c r="B23" s="105" t="inlineStr">
        <is>
          <t>Año 4: Distribución operativa (12%)</t>
        </is>
      </c>
      <c r="G23" s="94">
        <f>'Bases del Modelo'!$C$44*'Bases del Modelo'!$C$48</f>
        <v/>
      </c>
    </row>
    <row r="24" ht="18" customHeight="1" s="66">
      <c r="B24" s="105" t="inlineStr">
        <is>
          <t>Año 5: Distribución + capital + prima</t>
        </is>
      </c>
      <c r="H24" s="94">
        <f>'Bases del Modelo'!$C$44*'Bases del Modelo'!$C$48+'Bases del Modelo'!$C$44+'Bases del Modelo'!$C$44*'Bases del Modelo'!$C$49</f>
        <v/>
      </c>
    </row>
    <row r="25" ht="18" customHeight="1" s="66">
      <c r="B25" s="106" t="inlineStr">
        <is>
          <t>Flujo neto anual</t>
        </is>
      </c>
      <c r="C25" s="107">
        <f>SUM(C19:C24)</f>
        <v/>
      </c>
      <c r="D25" s="107">
        <f>SUM(D19:D24)</f>
        <v/>
      </c>
      <c r="E25" s="107">
        <f>SUM(E19:E24)</f>
        <v/>
      </c>
      <c r="F25" s="107">
        <f>SUM(F19:F24)</f>
        <v/>
      </c>
      <c r="G25" s="107">
        <f>SUM(G19:G24)</f>
        <v/>
      </c>
      <c r="H25" s="107">
        <f>SUM(H19:H24)</f>
        <v/>
      </c>
    </row>
    <row r="26" ht="6" customHeight="1" s="66"/>
    <row r="27" ht="27.75" customHeight="1" s="66">
      <c r="B27" s="100" t="inlineStr">
        <is>
          <t>TIR POR TICKET (5 AÑOS)</t>
        </is>
      </c>
      <c r="C27" s="108">
        <f>IRR(C25:H25)</f>
        <v/>
      </c>
      <c r="F27" s="109" t="inlineStr">
        <is>
          <t>Total recibido por ticket de $10,000</t>
        </is>
      </c>
      <c r="I27" s="110">
        <f>SUM(D20:H24)</f>
        <v/>
      </c>
    </row>
    <row r="28" ht="7.5" customHeight="1" s="66"/>
    <row r="29" ht="60" customHeight="1" s="66">
      <c r="B29" s="76" t="inlineStr">
        <is>
          <t>Las distribuciones al inversionista están establecidas contractualmente e independientes del desempeño operativo del hotel. El indicador de cobertura muestra cuántas veces el EBITDA del hotel cubre las distribuciones contractuales, demostrando la solidez del respaldo operativo. La TIR (Tasa Interna de Retorno) se calcula sobre el flujo neto del inversionista. El Año 5 incluye la última distribución operativa, la devolución del capital original y la prima del 10% al cierre.</t>
        </is>
      </c>
    </row>
  </sheetData>
  <mergeCells count="10">
    <mergeCell ref="B7:M7"/>
    <mergeCell ref="C27:E27"/>
    <mergeCell ref="B3:M3"/>
    <mergeCell ref="I27:K27"/>
    <mergeCell ref="F27:H27"/>
    <mergeCell ref="B14:M14"/>
    <mergeCell ref="B9:M9"/>
    <mergeCell ref="B18:M18"/>
    <mergeCell ref="B4:M4"/>
    <mergeCell ref="B29:M29"/>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B3:F18"/>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65" min="1" max="1"/>
    <col width="38" customWidth="1" style="65" min="2" max="2"/>
    <col width="16" customWidth="1" style="65" min="3" max="5"/>
    <col width="40" customWidth="1" style="65" min="6" max="6"/>
  </cols>
  <sheetData>
    <row r="2" ht="7.5" customHeight="1" s="66"/>
    <row r="3" ht="31.5" customHeight="1" s="66">
      <c r="B3" s="77" t="inlineStr">
        <is>
          <t>ANÁLISIS DE SENSIBILIDAD</t>
        </is>
      </c>
    </row>
    <row r="4" ht="21.75" customHeight="1" s="66">
      <c r="B4" s="78" t="inlineStr">
        <is>
          <t>Resultados estabilizados (Año 3) bajo tres escenarios operativos.</t>
        </is>
      </c>
    </row>
    <row r="5" ht="6" customHeight="1" s="66"/>
    <row r="6" ht="30" customHeight="1" s="66">
      <c r="B6" s="89" t="inlineStr">
        <is>
          <t>Variable</t>
        </is>
      </c>
      <c r="C6" s="89" t="inlineStr">
        <is>
          <t>Pesimista</t>
        </is>
      </c>
      <c r="D6" s="89" t="inlineStr">
        <is>
          <t>Base</t>
        </is>
      </c>
      <c r="E6" s="89" t="inlineStr">
        <is>
          <t>Optimista</t>
        </is>
      </c>
      <c r="F6" s="89" t="inlineStr">
        <is>
          <t>Comentario</t>
        </is>
      </c>
    </row>
    <row r="7" ht="24" customHeight="1" s="66">
      <c r="B7" s="105" t="inlineStr">
        <is>
          <t>Ocupación</t>
        </is>
      </c>
      <c r="C7" s="111" t="n">
        <v>0.6</v>
      </c>
      <c r="D7" s="111" t="n">
        <v>0.74</v>
      </c>
      <c r="E7" s="111" t="n">
        <v>0.85</v>
      </c>
      <c r="F7" s="112" t="inlineStr">
        <is>
          <t>Pesimista: contexto recesivo. Optimista: mercado en expansión.</t>
        </is>
      </c>
    </row>
    <row r="8" ht="24" customHeight="1" s="66">
      <c r="B8" s="105" t="inlineStr">
        <is>
          <t>ADR</t>
        </is>
      </c>
      <c r="C8" s="113" t="n">
        <v>140</v>
      </c>
      <c r="D8" s="113" t="n">
        <v>161</v>
      </c>
      <c r="E8" s="113" t="n">
        <v>180</v>
      </c>
      <c r="F8" s="112" t="inlineStr">
        <is>
          <t>Pesimista: fuerte competencia en precio. Optimista: posicionamiento premium.</t>
        </is>
      </c>
    </row>
    <row r="9" ht="6" customHeight="1" s="66"/>
    <row r="10" ht="21.75" customHeight="1" s="66">
      <c r="B10" s="72" t="inlineStr">
        <is>
          <t>RESULTADOS PROYECTADOS</t>
        </is>
      </c>
    </row>
    <row r="11" ht="21.75" customHeight="1" s="66">
      <c r="B11" s="105" t="inlineStr">
        <is>
          <t>Ingresos por habitaciones</t>
        </is>
      </c>
      <c r="C11" s="94">
        <f>'Bases del Modelo'!$C$10*C7*C8</f>
        <v/>
      </c>
      <c r="D11" s="94">
        <f>'Bases del Modelo'!$C$10*D7*D8</f>
        <v/>
      </c>
      <c r="E11" s="94">
        <f>'Bases del Modelo'!$C$10*E7*E8</f>
        <v/>
      </c>
    </row>
    <row r="12" ht="21.75" customHeight="1" s="66">
      <c r="B12" s="105" t="inlineStr">
        <is>
          <t>Ingresos totales (incl. A&amp;B + otros)</t>
        </is>
      </c>
      <c r="C12" s="94">
        <f>C11*(1+'Bases del Modelo'!$C$17+'Bases del Modelo'!$C$18)</f>
        <v/>
      </c>
      <c r="D12" s="94">
        <f>D11*(1+'Bases del Modelo'!$C$17+'Bases del Modelo'!$C$18)</f>
        <v/>
      </c>
      <c r="E12" s="94">
        <f>E11*(1+'Bases del Modelo'!$C$17+'Bases del Modelo'!$C$18)</f>
        <v/>
      </c>
    </row>
    <row r="13" ht="21.75" customHeight="1" s="66">
      <c r="B13" s="105" t="inlineStr">
        <is>
          <t>EBITDA aproximado</t>
        </is>
      </c>
      <c r="C13" s="94">
        <f>C12*0.35-200000</f>
        <v/>
      </c>
      <c r="D13" s="94">
        <f>D12*0.35-200000</f>
        <v/>
      </c>
      <c r="E13" s="94">
        <f>E12*0.35-200000</f>
        <v/>
      </c>
    </row>
    <row r="14" ht="21.75" customHeight="1" s="66">
      <c r="B14" s="105" t="inlineStr">
        <is>
          <t>Distribución contractual (Año 3)</t>
        </is>
      </c>
      <c r="C14" s="94">
        <f>'Bases del Modelo'!$C$45*'Bases del Modelo'!$C$48</f>
        <v/>
      </c>
      <c r="D14" s="94">
        <f>'Bases del Modelo'!$C$45*'Bases del Modelo'!$C$48</f>
        <v/>
      </c>
      <c r="E14" s="94">
        <f>'Bases del Modelo'!$C$45*'Bases del Modelo'!$C$48</f>
        <v/>
      </c>
    </row>
    <row r="15" ht="21.75" customHeight="1" s="66">
      <c r="B15" s="114" t="inlineStr">
        <is>
          <t>Cobertura del hotel</t>
        </is>
      </c>
      <c r="C15" s="115">
        <f>IFERROR(C13/C14,0)</f>
        <v/>
      </c>
      <c r="D15" s="115">
        <f>IFERROR(D13/D14,0)</f>
        <v/>
      </c>
      <c r="E15" s="115">
        <f>IFERROR(E13/E14,0)</f>
        <v/>
      </c>
    </row>
    <row r="16" ht="21.75" customHeight="1" s="66">
      <c r="B16" s="116" t="inlineStr">
        <is>
          <t>Excedente operativo</t>
        </is>
      </c>
      <c r="C16" s="101">
        <f>C13-C14</f>
        <v/>
      </c>
      <c r="D16" s="101">
        <f>D13-D14</f>
        <v/>
      </c>
      <c r="E16" s="101">
        <f>E13-E14</f>
        <v/>
      </c>
    </row>
    <row r="18" ht="60" customHeight="1" s="66">
      <c r="B18" s="76" t="inlineStr">
        <is>
          <t>El análisis demuestra que aún en el escenario pesimista (60% ocupación, ADR $140), el EBITDA del hotel cubre las distribuciones comprometidas al inversionista. La cobertura por encima de 1.0x indica que el flujo de caja operativo del hotel respalda el pago de los retornos contractuales. Esto, sumado a la garantía contractual del desarrollador, brinda doble respaldo al inversionista.</t>
        </is>
      </c>
    </row>
  </sheetData>
  <mergeCells count="4">
    <mergeCell ref="B4:F4"/>
    <mergeCell ref="B10:F10"/>
    <mergeCell ref="B18:F18"/>
    <mergeCell ref="B3:F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B3:H19"/>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 customWidth="1" style="65" min="1" max="1"/>
    <col width="32" customWidth="1" style="65" min="2" max="2"/>
    <col width="14" customWidth="1" style="65" min="3" max="3"/>
    <col width="12" customWidth="1" style="65" min="4" max="6"/>
    <col width="14" customWidth="1" style="65" min="7" max="7"/>
    <col width="32" customWidth="1" style="65" min="8" max="8"/>
  </cols>
  <sheetData>
    <row r="2" ht="7.5" customHeight="1" s="66"/>
    <row r="3" ht="31.5" customHeight="1" s="66">
      <c r="B3" s="77" t="inlineStr">
        <is>
          <t>MERCADO COMPARABLE</t>
        </is>
      </c>
    </row>
    <row r="4" ht="21.75" customHeight="1" s="66">
      <c r="B4" s="78" t="inlineStr">
        <is>
          <t>Hoteles de referencia en La Romana y zona aledaña que respaldan las proyecciones de NOMAD.</t>
        </is>
      </c>
    </row>
    <row r="5" ht="6" customHeight="1" s="66"/>
    <row r="6" ht="37.5" customHeight="1" s="66">
      <c r="B6" s="89" t="inlineStr">
        <is>
          <t>Propiedad</t>
        </is>
      </c>
      <c r="C6" s="89" t="inlineStr">
        <is>
          <t>Ubicación</t>
        </is>
      </c>
      <c r="D6" s="89" t="inlineStr">
        <is>
          <t>Categoría</t>
        </is>
      </c>
      <c r="E6" s="89" t="inlineStr">
        <is>
          <t>Habitaciones</t>
        </is>
      </c>
      <c r="F6" s="89" t="inlineStr">
        <is>
          <t>ADR estimado</t>
        </is>
      </c>
      <c r="G6" s="89" t="inlineStr">
        <is>
          <t>Ocupación</t>
        </is>
      </c>
      <c r="H6" s="89" t="inlineStr">
        <is>
          <t>Comentario</t>
        </is>
      </c>
    </row>
    <row r="7" ht="24" customHeight="1" s="66">
      <c r="B7" s="105" t="inlineStr">
        <is>
          <t>Hilton La Romana</t>
        </is>
      </c>
      <c r="C7" s="105" t="inlineStr">
        <is>
          <t>La Romana</t>
        </is>
      </c>
      <c r="D7" s="117" t="inlineStr">
        <is>
          <t>5★ TI</t>
        </is>
      </c>
      <c r="E7" s="117" t="n">
        <v>356</v>
      </c>
      <c r="F7" s="91" t="n">
        <v>220</v>
      </c>
      <c r="G7" s="118" t="n">
        <v>0.78</v>
      </c>
      <c r="H7" s="119" t="inlineStr">
        <is>
          <t>Resort todo-incluido</t>
        </is>
      </c>
    </row>
    <row r="8" ht="24" customHeight="1" s="66">
      <c r="B8" s="120" t="inlineStr">
        <is>
          <t>Casa de Campo Resort</t>
        </is>
      </c>
      <c r="C8" s="120" t="inlineStr">
        <is>
          <t>La Romana</t>
        </is>
      </c>
      <c r="D8" s="121" t="inlineStr">
        <is>
          <t>5★</t>
        </is>
      </c>
      <c r="E8" s="121" t="n">
        <v>185</v>
      </c>
      <c r="F8" s="122" t="n">
        <v>450</v>
      </c>
      <c r="G8" s="123" t="n">
        <v>0.72</v>
      </c>
      <c r="H8" s="124" t="inlineStr">
        <is>
          <t>Lujo — posicionamiento premium</t>
        </is>
      </c>
    </row>
    <row r="9" ht="24" customHeight="1" s="66">
      <c r="B9" s="105" t="inlineStr">
        <is>
          <t>Bahia Principe Grand La Romana</t>
        </is>
      </c>
      <c r="C9" s="105" t="inlineStr">
        <is>
          <t>La Romana</t>
        </is>
      </c>
      <c r="D9" s="117" t="inlineStr">
        <is>
          <t>4★ TI</t>
        </is>
      </c>
      <c r="E9" s="117" t="n">
        <v>458</v>
      </c>
      <c r="F9" s="91" t="n">
        <v>180</v>
      </c>
      <c r="G9" s="118" t="n">
        <v>0.74</v>
      </c>
      <c r="H9" s="119" t="inlineStr">
        <is>
          <t>Todo-incluido</t>
        </is>
      </c>
    </row>
    <row r="10" ht="24" customHeight="1" s="66">
      <c r="B10" s="120" t="inlineStr">
        <is>
          <t>Dreams Dominicus La Romana</t>
        </is>
      </c>
      <c r="C10" s="120" t="inlineStr">
        <is>
          <t>Bayahibe</t>
        </is>
      </c>
      <c r="D10" s="121" t="inlineStr">
        <is>
          <t>5★ TI</t>
        </is>
      </c>
      <c r="E10" s="121" t="n">
        <v>524</v>
      </c>
      <c r="F10" s="122" t="n">
        <v>240</v>
      </c>
      <c r="G10" s="123" t="n">
        <v>0.8100000000000001</v>
      </c>
      <c r="H10" s="124" t="inlineStr">
        <is>
          <t>Todo-incluido</t>
        </is>
      </c>
    </row>
    <row r="11" ht="24" customHeight="1" s="66">
      <c r="B11" s="105" t="inlineStr">
        <is>
          <t>Be Live Canoa</t>
        </is>
      </c>
      <c r="C11" s="105" t="inlineStr">
        <is>
          <t>La Romana</t>
        </is>
      </c>
      <c r="D11" s="117" t="inlineStr">
        <is>
          <t>4★ TI</t>
        </is>
      </c>
      <c r="E11" s="117" t="n">
        <v>532</v>
      </c>
      <c r="F11" s="91" t="n">
        <v>145</v>
      </c>
      <c r="G11" s="118" t="n">
        <v>0.68</v>
      </c>
      <c r="H11" s="119" t="inlineStr">
        <is>
          <t>Comparable cercano en precio</t>
        </is>
      </c>
    </row>
    <row r="12" ht="24" customHeight="1" s="66">
      <c r="B12" s="120" t="inlineStr">
        <is>
          <t>Promedio MOD by Sonesta (USA)</t>
        </is>
      </c>
      <c r="C12" s="120" t="inlineStr">
        <is>
          <t>Varios</t>
        </is>
      </c>
      <c r="D12" s="121" t="inlineStr">
        <is>
          <t>4★</t>
        </is>
      </c>
      <c r="E12" s="121" t="inlineStr">
        <is>
          <t>—</t>
        </is>
      </c>
      <c r="F12" s="122" t="n">
        <v>165</v>
      </c>
      <c r="G12" s="123" t="n">
        <v>0.74</v>
      </c>
      <c r="H12" s="124" t="inlineStr">
        <is>
          <t>Referencia de marca Sonesta</t>
        </is>
      </c>
    </row>
    <row r="13" ht="24" customHeight="1" s="66">
      <c r="B13" s="116" t="inlineStr">
        <is>
          <t>NOMAD (proyectado)</t>
        </is>
      </c>
      <c r="C13" s="116" t="inlineStr">
        <is>
          <t>La Romana</t>
        </is>
      </c>
      <c r="D13" s="125" t="inlineStr">
        <is>
          <t>4★</t>
        </is>
      </c>
      <c r="E13" s="125" t="n">
        <v>84</v>
      </c>
      <c r="F13" s="126" t="n">
        <v>155</v>
      </c>
      <c r="G13" s="127" t="n">
        <v>0.7</v>
      </c>
      <c r="H13" s="128" t="inlineStr">
        <is>
          <t>Hotel objeto — Año 1</t>
        </is>
      </c>
    </row>
    <row r="15" ht="21.75" customHeight="1" s="66">
      <c r="B15" s="72" t="inlineStr">
        <is>
          <t>PROMEDIO DE MERCADO (excluye NOMAD)</t>
        </is>
      </c>
    </row>
    <row r="16" ht="21.75" customHeight="1" s="66">
      <c r="B16" s="105" t="inlineStr">
        <is>
          <t>ADR promedio del mercado</t>
        </is>
      </c>
      <c r="F16" s="129">
        <f>AVERAGE(F7:F12)</f>
        <v/>
      </c>
    </row>
    <row r="17" ht="21.75" customHeight="1" s="66">
      <c r="B17" s="105" t="inlineStr">
        <is>
          <t>Ocupación promedio del mercado</t>
        </is>
      </c>
      <c r="G17" s="130">
        <f>AVERAGE(G7:G12)</f>
        <v/>
      </c>
    </row>
    <row r="19" ht="60" customHeight="1" s="66">
      <c r="B19" s="76" t="inlineStr">
        <is>
          <t>Las proyecciones de NOMAD se posicionan conservadoramente por debajo del promedio del mercado tanto en ADR como en ocupación inicial, lo cual otorga margen de seguridad al modelo financiero. NOMAD será el único producto 4 estrellas dentro de un radio de aproximadamente 80 km, lo que constituye una ventaja competitiva relevante. Fuentes: Ministerio de Turismo de la República Dominicana, ASONAHORES (Asociación de Hoteles y Turismo), y datos públicos de mercado.</t>
        </is>
      </c>
    </row>
  </sheetData>
  <mergeCells count="4">
    <mergeCell ref="B3:H3"/>
    <mergeCell ref="B19:H19"/>
    <mergeCell ref="B4:H4"/>
    <mergeCell ref="B15:H1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2026-04-29T16:14:26Z</dcterms:created>
  <dcterms:modified xmlns:dcterms="http://purl.org/dc/terms/" xmlns:xsi="http://www.w3.org/2001/XMLSchema-instance" xsi:type="dcterms:W3CDTF">2026-04-29T16:14:50Z</dcterms:modified>
  <cp:revision>0</cp:revision>
</cp:coreProperties>
</file>